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715" windowHeight="8865" tabRatio="440" firstSheet="3" activeTab="3"/>
  </bookViews>
  <sheets>
    <sheet name="H31（賦課限度額改正前）" sheetId="1" r:id="rId1"/>
    <sheet name="令和２（賦課限度額改正後）" sheetId="2" r:id="rId2"/>
    <sheet name="令和3（賦課限度額改正後）" sheetId="3" r:id="rId3"/>
    <sheet name="令和５（賦課限度額改正後）" sheetId="4" r:id="rId4"/>
  </sheets>
  <definedNames>
    <definedName name="_xlnm.Print_Area" localSheetId="0">'H31（賦課限度額改正前）'!$A$1:$Z$32</definedName>
    <definedName name="_xlnm.Print_Area" localSheetId="1">'令和２（賦課限度額改正後）'!$A$1:$Z$32</definedName>
    <definedName name="_xlnm.Print_Area" localSheetId="2">'令和3（賦課限度額改正後）'!$A$1:$Z$32</definedName>
    <definedName name="_xlnm.Print_Area" localSheetId="3">'令和５（賦課限度額改正後）'!$A$1:$Z$33</definedName>
  </definedNames>
  <calcPr fullCalcOnLoad="1"/>
</workbook>
</file>

<file path=xl/sharedStrings.xml><?xml version="1.0" encoding="utf-8"?>
<sst xmlns="http://schemas.openxmlformats.org/spreadsheetml/2006/main" count="658" uniqueCount="49">
  <si>
    <t>総所得金額</t>
  </si>
  <si>
    <t>円</t>
  </si>
  <si>
    <t>―</t>
  </si>
  <si>
    <t>基礎控除額</t>
  </si>
  <si>
    <t>×</t>
  </si>
  <si>
    <t>税率</t>
  </si>
  <si>
    <t>金　　額</t>
  </si>
  <si>
    <t>区分</t>
  </si>
  <si>
    <t>所得割</t>
  </si>
  <si>
    <t>小　　　計</t>
  </si>
  <si>
    <t>均等割</t>
  </si>
  <si>
    <t>人</t>
  </si>
  <si>
    <t>平等割</t>
  </si>
  <si>
    <t>１世帯当り</t>
  </si>
  <si>
    <t>合計年税額（医療分＋支援分＋介護分）</t>
  </si>
  <si>
    <t>１ヶ月平均保険税額</t>
  </si>
  <si>
    <t>　　　　　　　　　　　　　　　合　　　　　計　　　　　（限度額１６万円）</t>
  </si>
  <si>
    <t>限度超過額</t>
  </si>
  <si>
    <t>　　　　　　　　　　　　　　　　合　　　　　計　　　　　（限度額１９万円）</t>
  </si>
  <si>
    <t>（</t>
  </si>
  <si>
    <t>（</t>
  </si>
  <si>
    <t>）</t>
  </si>
  <si>
    <t>）</t>
  </si>
  <si>
    <t>）</t>
  </si>
  <si>
    <t>○</t>
  </si>
  <si>
    <t>「所得割」の区分には、国保加入者の平成２９年中の総所得金額を入力してください。</t>
  </si>
  <si>
    <t>「均等割」の区分には、国保加入者の人数を入力してください。</t>
  </si>
  <si>
    <t>（支援分は医療分に数字を入力することで、自動で計算されます）</t>
  </si>
  <si>
    <t>国保加入者の数字を、それぞれ入力してください。</t>
  </si>
  <si>
    <t>「医療分」の表にはすべての国保加入者、「介護分」の表には４０歳から６４歳までの</t>
  </si>
  <si>
    <t>左の合計年税額のマスが平成３０年度１年間の国民健康保険税額となります。</t>
  </si>
  <si>
    <t>【　国民健康保険税の計算方法　】</t>
  </si>
  <si>
    <t>□黄色のマスへ数字を入力すると１年間の合計年税額が計算されます。</t>
  </si>
  <si>
    <t>この試算では、国民健康保険税の軽減や減免措置は考慮しておりません。また、年度</t>
  </si>
  <si>
    <t>←</t>
  </si>
  <si>
    <t>途中で４０歳又は６５歳になる場合などの月割計算にも未対応ですので、ご注意ください。</t>
  </si>
  <si>
    <t>　　　　　　　　　　　　　　　合　　　　　計　　　　　（限度額６３万円）</t>
  </si>
  <si>
    <t>　　　　　　　　　　　　　　　合　　　　　計　　　　　（限度額１７万円）</t>
  </si>
  <si>
    <t>「所得割」の区分には、国保加入者の令和元中の総所得金額を入力してください。</t>
  </si>
  <si>
    <t>　　　　　　　　　　　　　　　合　　　　　計　　　　　（限度額６１万円）</t>
  </si>
  <si>
    <t>左の合計年税額のマスが令和３年度１年間の国民健康保険税額となります。</t>
  </si>
  <si>
    <t>左の合計年税額のマスが令和２年度１年間の国民健康保険税額となります。</t>
  </si>
  <si>
    <t>　　　　　　　　　　　　　　　合　　　　　計　　　　　（限度額６５万円）</t>
  </si>
  <si>
    <t>被保険者数（全体）</t>
  </si>
  <si>
    <t>被保険者数のうち、未就学児数</t>
  </si>
  <si>
    <t>未就学児とは６歳に達する日以後の最初の３月３１日以前の被保険者をいいます。</t>
  </si>
  <si>
    <t>　　　　　　　　　　　　　　　　合　　　　　計　　　　　（限度額２２万円）</t>
  </si>
  <si>
    <t>「所得割」の区分には、国保加入者の令和４年中の総所得金額を入力してください。</t>
  </si>
  <si>
    <t>左の合計年税額のマスが令和５年度１年間の国民健康保険税額となります。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</si>
</sst>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[$-411]gee\.mm\.dd"/>
    <numFmt numFmtId="178" formatCode="#;\0;0"/>
    <numFmt numFmtId="179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sz val="2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" fontId="5" fillId="34" borderId="17" xfId="0" applyNumberFormat="1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5" fillId="35" borderId="26" xfId="0" applyNumberFormat="1" applyFont="1" applyFill="1" applyBorder="1" applyAlignment="1" applyProtection="1">
      <alignment vertical="center"/>
      <protection locked="0"/>
    </xf>
    <xf numFmtId="3" fontId="0" fillId="35" borderId="26" xfId="0" applyNumberFormat="1" applyFill="1" applyBorder="1" applyAlignment="1" applyProtection="1">
      <alignment vertical="center"/>
      <protection locked="0"/>
    </xf>
    <xf numFmtId="0" fontId="0" fillId="35" borderId="26" xfId="0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5" fillId="36" borderId="26" xfId="0" applyNumberFormat="1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35" borderId="30" xfId="0" applyFill="1" applyBorder="1" applyAlignment="1" applyProtection="1">
      <alignment vertical="center"/>
      <protection locked="0"/>
    </xf>
    <xf numFmtId="0" fontId="0" fillId="35" borderId="31" xfId="0" applyFill="1" applyBorder="1" applyAlignment="1" applyProtection="1">
      <alignment vertical="center"/>
      <protection locked="0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2</xdr:col>
      <xdr:colOff>695325</xdr:colOff>
      <xdr:row>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0" y="723900"/>
          <a:ext cx="1638300" cy="314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医　療　分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95250</xdr:colOff>
      <xdr:row>0</xdr:row>
      <xdr:rowOff>19050</xdr:rowOff>
    </xdr:from>
    <xdr:to>
      <xdr:col>23</xdr:col>
      <xdr:colOff>228600</xdr:colOff>
      <xdr:row>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781050" y="19050"/>
          <a:ext cx="11372850" cy="571500"/>
        </a:xfrm>
        <a:prstGeom prst="ribbon2">
          <a:avLst>
            <a:gd name="adj" fmla="val 21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平成３１年度の国民健康保険税を試算してみましょう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17</xdr:row>
      <xdr:rowOff>152400</xdr:rowOff>
    </xdr:from>
    <xdr:to>
      <xdr:col>2</xdr:col>
      <xdr:colOff>695325</xdr:colOff>
      <xdr:row>19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9525" y="3886200"/>
          <a:ext cx="162877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介　護　分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28575</xdr:colOff>
      <xdr:row>4</xdr:row>
      <xdr:rowOff>38100</xdr:rowOff>
    </xdr:from>
    <xdr:to>
      <xdr:col>15</xdr:col>
      <xdr:colOff>533400</xdr:colOff>
      <xdr:row>5</xdr:row>
      <xdr:rowOff>180975</xdr:rowOff>
    </xdr:to>
    <xdr:sp>
      <xdr:nvSpPr>
        <xdr:cNvPr id="4" name="AutoShape 5"/>
        <xdr:cNvSpPr>
          <a:spLocks/>
        </xdr:cNvSpPr>
      </xdr:nvSpPr>
      <xdr:spPr>
        <a:xfrm>
          <a:off x="6829425" y="723900"/>
          <a:ext cx="1447800" cy="314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支　援　分</a:t>
          </a:r>
        </a:p>
      </xdr:txBody>
    </xdr:sp>
    <xdr:clientData/>
  </xdr:twoCellAnchor>
  <xdr:twoCellAnchor>
    <xdr:from>
      <xdr:col>2</xdr:col>
      <xdr:colOff>876300</xdr:colOff>
      <xdr:row>4</xdr:row>
      <xdr:rowOff>57150</xdr:rowOff>
    </xdr:from>
    <xdr:to>
      <xdr:col>10</xdr:col>
      <xdr:colOff>19050</xdr:colOff>
      <xdr:row>5</xdr:row>
      <xdr:rowOff>152400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819275" y="742950"/>
          <a:ext cx="33528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すべての国保加入者が対象となります。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771525</xdr:colOff>
      <xdr:row>4</xdr:row>
      <xdr:rowOff>57150</xdr:rowOff>
    </xdr:from>
    <xdr:to>
      <xdr:col>22</xdr:col>
      <xdr:colOff>685800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515350" y="742950"/>
          <a:ext cx="33909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すべての国保加入者が対象となります。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895350</xdr:colOff>
      <xdr:row>17</xdr:row>
      <xdr:rowOff>161925</xdr:rowOff>
    </xdr:from>
    <xdr:to>
      <xdr:col>10</xdr:col>
      <xdr:colOff>28575</xdr:colOff>
      <xdr:row>19</xdr:row>
      <xdr:rowOff>85725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838325" y="3895725"/>
          <a:ext cx="33432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４０歳から６４歳の国保加入者が対象となります。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2</xdr:col>
      <xdr:colOff>695325</xdr:colOff>
      <xdr:row>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0" y="723900"/>
          <a:ext cx="1638300" cy="314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医　療　分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95250</xdr:colOff>
      <xdr:row>0</xdr:row>
      <xdr:rowOff>19050</xdr:rowOff>
    </xdr:from>
    <xdr:to>
      <xdr:col>23</xdr:col>
      <xdr:colOff>228600</xdr:colOff>
      <xdr:row>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781050" y="19050"/>
          <a:ext cx="11372850" cy="571500"/>
        </a:xfrm>
        <a:prstGeom prst="ribbon2">
          <a:avLst>
            <a:gd name="adj" fmla="val 21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令和２年度の国民健康保険税を試算してみましょう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17</xdr:row>
      <xdr:rowOff>152400</xdr:rowOff>
    </xdr:from>
    <xdr:to>
      <xdr:col>2</xdr:col>
      <xdr:colOff>695325</xdr:colOff>
      <xdr:row>19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9525" y="3886200"/>
          <a:ext cx="162877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介　護　分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28575</xdr:colOff>
      <xdr:row>4</xdr:row>
      <xdr:rowOff>38100</xdr:rowOff>
    </xdr:from>
    <xdr:to>
      <xdr:col>15</xdr:col>
      <xdr:colOff>533400</xdr:colOff>
      <xdr:row>5</xdr:row>
      <xdr:rowOff>180975</xdr:rowOff>
    </xdr:to>
    <xdr:sp>
      <xdr:nvSpPr>
        <xdr:cNvPr id="4" name="AutoShape 5"/>
        <xdr:cNvSpPr>
          <a:spLocks/>
        </xdr:cNvSpPr>
      </xdr:nvSpPr>
      <xdr:spPr>
        <a:xfrm>
          <a:off x="6829425" y="723900"/>
          <a:ext cx="1447800" cy="314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支　援　分</a:t>
          </a:r>
        </a:p>
      </xdr:txBody>
    </xdr:sp>
    <xdr:clientData/>
  </xdr:twoCellAnchor>
  <xdr:twoCellAnchor>
    <xdr:from>
      <xdr:col>2</xdr:col>
      <xdr:colOff>876300</xdr:colOff>
      <xdr:row>4</xdr:row>
      <xdr:rowOff>57150</xdr:rowOff>
    </xdr:from>
    <xdr:to>
      <xdr:col>10</xdr:col>
      <xdr:colOff>19050</xdr:colOff>
      <xdr:row>5</xdr:row>
      <xdr:rowOff>152400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819275" y="742950"/>
          <a:ext cx="33528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すべての国保加入者が対象となります。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771525</xdr:colOff>
      <xdr:row>4</xdr:row>
      <xdr:rowOff>57150</xdr:rowOff>
    </xdr:from>
    <xdr:to>
      <xdr:col>22</xdr:col>
      <xdr:colOff>685800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515350" y="742950"/>
          <a:ext cx="33909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すべての国保加入者が対象となります。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895350</xdr:colOff>
      <xdr:row>17</xdr:row>
      <xdr:rowOff>161925</xdr:rowOff>
    </xdr:from>
    <xdr:to>
      <xdr:col>10</xdr:col>
      <xdr:colOff>28575</xdr:colOff>
      <xdr:row>19</xdr:row>
      <xdr:rowOff>85725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838325" y="3895725"/>
          <a:ext cx="33432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４０歳から６４歳の国保加入者が対象となります。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2</xdr:col>
      <xdr:colOff>695325</xdr:colOff>
      <xdr:row>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0" y="723900"/>
          <a:ext cx="1638300" cy="314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医　療　分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95250</xdr:colOff>
      <xdr:row>0</xdr:row>
      <xdr:rowOff>19050</xdr:rowOff>
    </xdr:from>
    <xdr:to>
      <xdr:col>23</xdr:col>
      <xdr:colOff>228600</xdr:colOff>
      <xdr:row>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781050" y="19050"/>
          <a:ext cx="11372850" cy="571500"/>
        </a:xfrm>
        <a:prstGeom prst="ribbon2">
          <a:avLst>
            <a:gd name="adj" fmla="val 21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令和３年度の国民健康保険税を試算してみましょう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17</xdr:row>
      <xdr:rowOff>152400</xdr:rowOff>
    </xdr:from>
    <xdr:to>
      <xdr:col>2</xdr:col>
      <xdr:colOff>695325</xdr:colOff>
      <xdr:row>19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9525" y="3886200"/>
          <a:ext cx="162877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介　護　分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28575</xdr:colOff>
      <xdr:row>4</xdr:row>
      <xdr:rowOff>38100</xdr:rowOff>
    </xdr:from>
    <xdr:to>
      <xdr:col>15</xdr:col>
      <xdr:colOff>533400</xdr:colOff>
      <xdr:row>5</xdr:row>
      <xdr:rowOff>180975</xdr:rowOff>
    </xdr:to>
    <xdr:sp>
      <xdr:nvSpPr>
        <xdr:cNvPr id="4" name="AutoShape 5"/>
        <xdr:cNvSpPr>
          <a:spLocks/>
        </xdr:cNvSpPr>
      </xdr:nvSpPr>
      <xdr:spPr>
        <a:xfrm>
          <a:off x="6829425" y="723900"/>
          <a:ext cx="1447800" cy="314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支　援　分</a:t>
          </a:r>
        </a:p>
      </xdr:txBody>
    </xdr:sp>
    <xdr:clientData/>
  </xdr:twoCellAnchor>
  <xdr:twoCellAnchor>
    <xdr:from>
      <xdr:col>2</xdr:col>
      <xdr:colOff>876300</xdr:colOff>
      <xdr:row>4</xdr:row>
      <xdr:rowOff>57150</xdr:rowOff>
    </xdr:from>
    <xdr:to>
      <xdr:col>10</xdr:col>
      <xdr:colOff>19050</xdr:colOff>
      <xdr:row>5</xdr:row>
      <xdr:rowOff>152400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819275" y="742950"/>
          <a:ext cx="33528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すべての国保加入者が対象となります。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771525</xdr:colOff>
      <xdr:row>4</xdr:row>
      <xdr:rowOff>57150</xdr:rowOff>
    </xdr:from>
    <xdr:to>
      <xdr:col>22</xdr:col>
      <xdr:colOff>685800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515350" y="742950"/>
          <a:ext cx="33909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すべての国保加入者が対象となります。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895350</xdr:colOff>
      <xdr:row>17</xdr:row>
      <xdr:rowOff>161925</xdr:rowOff>
    </xdr:from>
    <xdr:to>
      <xdr:col>10</xdr:col>
      <xdr:colOff>28575</xdr:colOff>
      <xdr:row>19</xdr:row>
      <xdr:rowOff>85725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838325" y="3895725"/>
          <a:ext cx="33432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４０歳から６４歳の国保加入者が対象となります。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2</xdr:col>
      <xdr:colOff>695325</xdr:colOff>
      <xdr:row>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0" y="723900"/>
          <a:ext cx="1638300" cy="314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医　療　分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95250</xdr:colOff>
      <xdr:row>0</xdr:row>
      <xdr:rowOff>19050</xdr:rowOff>
    </xdr:from>
    <xdr:to>
      <xdr:col>23</xdr:col>
      <xdr:colOff>228600</xdr:colOff>
      <xdr:row>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781050" y="19050"/>
          <a:ext cx="11372850" cy="571500"/>
        </a:xfrm>
        <a:prstGeom prst="ribbon2">
          <a:avLst>
            <a:gd name="adj" fmla="val 21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令和５年度の国民健康保険税を試算してみましょう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</xdr:colOff>
      <xdr:row>18</xdr:row>
      <xdr:rowOff>152400</xdr:rowOff>
    </xdr:from>
    <xdr:to>
      <xdr:col>2</xdr:col>
      <xdr:colOff>695325</xdr:colOff>
      <xdr:row>20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9525" y="4133850"/>
          <a:ext cx="1628775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介　護　分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28575</xdr:colOff>
      <xdr:row>4</xdr:row>
      <xdr:rowOff>38100</xdr:rowOff>
    </xdr:from>
    <xdr:to>
      <xdr:col>15</xdr:col>
      <xdr:colOff>533400</xdr:colOff>
      <xdr:row>5</xdr:row>
      <xdr:rowOff>180975</xdr:rowOff>
    </xdr:to>
    <xdr:sp>
      <xdr:nvSpPr>
        <xdr:cNvPr id="4" name="AutoShape 5"/>
        <xdr:cNvSpPr>
          <a:spLocks/>
        </xdr:cNvSpPr>
      </xdr:nvSpPr>
      <xdr:spPr>
        <a:xfrm>
          <a:off x="6829425" y="723900"/>
          <a:ext cx="1447800" cy="314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支　援　分</a:t>
          </a:r>
        </a:p>
      </xdr:txBody>
    </xdr:sp>
    <xdr:clientData/>
  </xdr:twoCellAnchor>
  <xdr:twoCellAnchor>
    <xdr:from>
      <xdr:col>2</xdr:col>
      <xdr:colOff>876300</xdr:colOff>
      <xdr:row>4</xdr:row>
      <xdr:rowOff>57150</xdr:rowOff>
    </xdr:from>
    <xdr:to>
      <xdr:col>10</xdr:col>
      <xdr:colOff>19050</xdr:colOff>
      <xdr:row>5</xdr:row>
      <xdr:rowOff>152400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819275" y="742950"/>
          <a:ext cx="33528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すべての国保加入者が対象となります。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771525</xdr:colOff>
      <xdr:row>4</xdr:row>
      <xdr:rowOff>57150</xdr:rowOff>
    </xdr:from>
    <xdr:to>
      <xdr:col>22</xdr:col>
      <xdr:colOff>685800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515350" y="742950"/>
          <a:ext cx="33909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すべての国保加入者が対象となります。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895350</xdr:colOff>
      <xdr:row>18</xdr:row>
      <xdr:rowOff>161925</xdr:rowOff>
    </xdr:from>
    <xdr:to>
      <xdr:col>10</xdr:col>
      <xdr:colOff>28575</xdr:colOff>
      <xdr:row>20</xdr:row>
      <xdr:rowOff>85725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838325" y="4143375"/>
          <a:ext cx="334327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４０歳から６４歳の国保加入者が対象となります。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Y32"/>
  <sheetViews>
    <sheetView zoomScale="85" zoomScaleNormal="85" zoomScaleSheetLayoutView="100" workbookViewId="0" topLeftCell="A13">
      <selection activeCell="O33" sqref="O33"/>
    </sheetView>
  </sheetViews>
  <sheetFormatPr defaultColWidth="9.00390625" defaultRowHeight="13.5"/>
  <cols>
    <col min="2" max="2" width="3.375" style="0" customWidth="1"/>
    <col min="3" max="3" width="19.625" style="0" customWidth="1"/>
    <col min="4" max="5" width="3.375" style="1" customWidth="1"/>
    <col min="6" max="6" width="9.50390625" style="0" bestFit="1" customWidth="1"/>
    <col min="7" max="7" width="3.375" style="1" bestFit="1" customWidth="1"/>
    <col min="8" max="8" width="3.375" style="1" customWidth="1"/>
    <col min="9" max="9" width="3.375" style="1" bestFit="1" customWidth="1"/>
    <col min="10" max="10" width="9.25390625" style="0" bestFit="1" customWidth="1"/>
    <col min="11" max="11" width="15.625" style="0" customWidth="1"/>
    <col min="12" max="12" width="3.375" style="0" bestFit="1" customWidth="1"/>
    <col min="13" max="13" width="2.625" style="0" customWidth="1"/>
    <col min="15" max="15" width="3.375" style="0" customWidth="1"/>
    <col min="16" max="16" width="19.625" style="0" customWidth="1"/>
    <col min="17" max="17" width="3.50390625" style="0" bestFit="1" customWidth="1"/>
    <col min="18" max="18" width="3.375" style="0" bestFit="1" customWidth="1"/>
    <col min="20" max="20" width="3.375" style="0" bestFit="1" customWidth="1"/>
    <col min="21" max="21" width="3.375" style="0" customWidth="1"/>
    <col min="22" max="22" width="3.375" style="0" bestFit="1" customWidth="1"/>
    <col min="23" max="23" width="9.25390625" style="0" bestFit="1" customWidth="1"/>
    <col min="24" max="24" width="15.625" style="0" customWidth="1"/>
    <col min="25" max="25" width="3.375" style="1" bestFit="1" customWidth="1"/>
    <col min="26" max="26" width="7.625" style="0" customWidth="1"/>
  </cols>
  <sheetData>
    <row r="1" spans="3:10" ht="13.5">
      <c r="C1" s="101"/>
      <c r="D1" s="101"/>
      <c r="E1" s="101"/>
      <c r="F1" s="101"/>
      <c r="G1" s="101"/>
      <c r="H1" s="101"/>
      <c r="I1" s="101"/>
      <c r="J1" s="101"/>
    </row>
    <row r="2" spans="3:10" ht="13.5">
      <c r="C2" s="101"/>
      <c r="D2" s="101"/>
      <c r="E2" s="101"/>
      <c r="F2" s="101"/>
      <c r="G2" s="101"/>
      <c r="H2" s="101"/>
      <c r="I2" s="101"/>
      <c r="J2" s="101"/>
    </row>
    <row r="5" spans="17:22" ht="13.5">
      <c r="Q5" s="1"/>
      <c r="R5" s="1"/>
      <c r="T5" s="1"/>
      <c r="U5" s="1"/>
      <c r="V5" s="1"/>
    </row>
    <row r="6" spans="1:22" ht="23.25" customHeight="1" thickBot="1">
      <c r="A6" s="101"/>
      <c r="B6" s="101"/>
      <c r="C6" s="101"/>
      <c r="Q6" s="1"/>
      <c r="R6" s="1"/>
      <c r="T6" s="1"/>
      <c r="U6" s="1"/>
      <c r="V6" s="1"/>
    </row>
    <row r="7" spans="1:25" ht="14.25" thickBot="1">
      <c r="A7" s="46" t="s">
        <v>7</v>
      </c>
      <c r="B7" s="41"/>
      <c r="C7" s="102" t="s">
        <v>0</v>
      </c>
      <c r="D7" s="86"/>
      <c r="E7" s="6"/>
      <c r="F7" s="85" t="s">
        <v>3</v>
      </c>
      <c r="G7" s="85"/>
      <c r="H7" s="6"/>
      <c r="I7" s="6"/>
      <c r="J7" s="7" t="s">
        <v>5</v>
      </c>
      <c r="K7" s="86" t="s">
        <v>6</v>
      </c>
      <c r="L7" s="87"/>
      <c r="N7" s="5" t="s">
        <v>7</v>
      </c>
      <c r="O7" s="86" t="s">
        <v>0</v>
      </c>
      <c r="P7" s="85"/>
      <c r="Q7" s="85"/>
      <c r="R7" s="6"/>
      <c r="S7" s="85" t="s">
        <v>3</v>
      </c>
      <c r="T7" s="85"/>
      <c r="U7" s="6"/>
      <c r="V7" s="6"/>
      <c r="W7" s="7" t="s">
        <v>5</v>
      </c>
      <c r="X7" s="86" t="s">
        <v>6</v>
      </c>
      <c r="Y7" s="87"/>
    </row>
    <row r="8" spans="1:25" ht="19.5" customHeight="1" thickBot="1">
      <c r="A8" s="88" t="s">
        <v>8</v>
      </c>
      <c r="B8" s="47" t="s">
        <v>19</v>
      </c>
      <c r="C8" s="50">
        <v>10000000</v>
      </c>
      <c r="D8" s="2" t="s">
        <v>1</v>
      </c>
      <c r="E8" s="2" t="s">
        <v>2</v>
      </c>
      <c r="F8" s="4">
        <v>330000</v>
      </c>
      <c r="G8" s="2" t="s">
        <v>1</v>
      </c>
      <c r="H8" s="2" t="s">
        <v>21</v>
      </c>
      <c r="I8" s="2" t="s">
        <v>4</v>
      </c>
      <c r="J8" s="15">
        <v>0.0573</v>
      </c>
      <c r="K8" s="31">
        <f>IF(C8&lt;=330000,0,ROUNDDOWN((C8-F8)*J8,0))</f>
        <v>554091</v>
      </c>
      <c r="L8" s="8" t="s">
        <v>1</v>
      </c>
      <c r="N8" s="96" t="s">
        <v>8</v>
      </c>
      <c r="O8" s="48" t="s">
        <v>19</v>
      </c>
      <c r="P8" s="4">
        <f>C8</f>
        <v>10000000</v>
      </c>
      <c r="Q8" s="2" t="s">
        <v>1</v>
      </c>
      <c r="R8" s="2" t="s">
        <v>2</v>
      </c>
      <c r="S8" s="4">
        <v>330000</v>
      </c>
      <c r="T8" s="2" t="s">
        <v>1</v>
      </c>
      <c r="U8" s="2" t="s">
        <v>21</v>
      </c>
      <c r="V8" s="2" t="s">
        <v>4</v>
      </c>
      <c r="W8" s="15">
        <v>0.0193</v>
      </c>
      <c r="X8" s="31">
        <f>IF(P8&lt;=330000,0,ROUNDDOWN((P8-S8)*W8,0))</f>
        <v>186631</v>
      </c>
      <c r="Y8" s="16" t="s">
        <v>1</v>
      </c>
    </row>
    <row r="9" spans="1:25" ht="19.5" customHeight="1" thickBot="1">
      <c r="A9" s="89"/>
      <c r="B9" s="48" t="s">
        <v>20</v>
      </c>
      <c r="C9" s="50"/>
      <c r="D9" s="2" t="s">
        <v>1</v>
      </c>
      <c r="E9" s="2" t="s">
        <v>2</v>
      </c>
      <c r="F9" s="4">
        <v>330000</v>
      </c>
      <c r="G9" s="2" t="s">
        <v>1</v>
      </c>
      <c r="H9" s="2" t="s">
        <v>22</v>
      </c>
      <c r="I9" s="2" t="s">
        <v>4</v>
      </c>
      <c r="J9" s="15">
        <v>0.0573</v>
      </c>
      <c r="K9" s="31">
        <f>IF(C9&lt;=330000,0,ROUNDDOWN((C9-F9)*J9,0))</f>
        <v>0</v>
      </c>
      <c r="L9" s="8" t="s">
        <v>1</v>
      </c>
      <c r="N9" s="97"/>
      <c r="O9" s="48" t="s">
        <v>20</v>
      </c>
      <c r="P9" s="4">
        <f>C9</f>
        <v>0</v>
      </c>
      <c r="Q9" s="2" t="s">
        <v>1</v>
      </c>
      <c r="R9" s="2" t="s">
        <v>2</v>
      </c>
      <c r="S9" s="4">
        <v>330000</v>
      </c>
      <c r="T9" s="2" t="s">
        <v>1</v>
      </c>
      <c r="U9" s="2" t="s">
        <v>23</v>
      </c>
      <c r="V9" s="2" t="s">
        <v>4</v>
      </c>
      <c r="W9" s="15">
        <v>0.0193</v>
      </c>
      <c r="X9" s="31">
        <f>IF(P9&lt;=330000,0,ROUNDDOWN((P9-S9)*W9,0))</f>
        <v>0</v>
      </c>
      <c r="Y9" s="16" t="s">
        <v>1</v>
      </c>
    </row>
    <row r="10" spans="1:25" ht="19.5" customHeight="1" thickBot="1">
      <c r="A10" s="89"/>
      <c r="B10" s="48" t="s">
        <v>20</v>
      </c>
      <c r="C10" s="51"/>
      <c r="D10" s="2" t="s">
        <v>1</v>
      </c>
      <c r="E10" s="2" t="s">
        <v>2</v>
      </c>
      <c r="F10" s="4">
        <v>330000</v>
      </c>
      <c r="G10" s="2" t="s">
        <v>1</v>
      </c>
      <c r="H10" s="2" t="s">
        <v>23</v>
      </c>
      <c r="I10" s="2" t="s">
        <v>4</v>
      </c>
      <c r="J10" s="15">
        <v>0.0573</v>
      </c>
      <c r="K10" s="31">
        <f>IF(C10&lt;=330000,0,ROUNDDOWN((C10-F10)*J10,0))</f>
        <v>0</v>
      </c>
      <c r="L10" s="8" t="s">
        <v>1</v>
      </c>
      <c r="N10" s="97"/>
      <c r="O10" s="48" t="s">
        <v>20</v>
      </c>
      <c r="P10" s="4">
        <f>C10</f>
        <v>0</v>
      </c>
      <c r="Q10" s="2" t="s">
        <v>1</v>
      </c>
      <c r="R10" s="2" t="s">
        <v>2</v>
      </c>
      <c r="S10" s="4">
        <v>330000</v>
      </c>
      <c r="T10" s="2" t="s">
        <v>1</v>
      </c>
      <c r="U10" s="2" t="s">
        <v>23</v>
      </c>
      <c r="V10" s="2" t="s">
        <v>4</v>
      </c>
      <c r="W10" s="15">
        <v>0.0193</v>
      </c>
      <c r="X10" s="31">
        <f>IF(P10&lt;=330000,0,ROUNDDOWN((P10-S10)*W10,0))</f>
        <v>0</v>
      </c>
      <c r="Y10" s="16" t="s">
        <v>1</v>
      </c>
    </row>
    <row r="11" spans="1:25" ht="19.5" customHeight="1" thickBot="1">
      <c r="A11" s="89"/>
      <c r="B11" s="48" t="s">
        <v>20</v>
      </c>
      <c r="C11" s="51"/>
      <c r="D11" s="2" t="s">
        <v>1</v>
      </c>
      <c r="E11" s="2" t="s">
        <v>2</v>
      </c>
      <c r="F11" s="4">
        <v>330000</v>
      </c>
      <c r="G11" s="2" t="s">
        <v>1</v>
      </c>
      <c r="H11" s="2" t="s">
        <v>23</v>
      </c>
      <c r="I11" s="2" t="s">
        <v>4</v>
      </c>
      <c r="J11" s="15">
        <v>0.0573</v>
      </c>
      <c r="K11" s="31">
        <f>IF(C11&lt;=330000,0,ROUNDDOWN((C11-F11)*J11,0))</f>
        <v>0</v>
      </c>
      <c r="L11" s="9" t="s">
        <v>1</v>
      </c>
      <c r="N11" s="97"/>
      <c r="O11" s="48" t="s">
        <v>20</v>
      </c>
      <c r="P11" s="4">
        <f>C11</f>
        <v>0</v>
      </c>
      <c r="Q11" s="2" t="s">
        <v>1</v>
      </c>
      <c r="R11" s="2" t="s">
        <v>2</v>
      </c>
      <c r="S11" s="4">
        <v>330000</v>
      </c>
      <c r="T11" s="2" t="s">
        <v>1</v>
      </c>
      <c r="U11" s="2" t="s">
        <v>23</v>
      </c>
      <c r="V11" s="2" t="s">
        <v>4</v>
      </c>
      <c r="W11" s="15">
        <v>0.0193</v>
      </c>
      <c r="X11" s="31">
        <f>IF(P11&lt;=330000,0,ROUNDDOWN((P11-S11)*W11,0))</f>
        <v>0</v>
      </c>
      <c r="Y11" s="17" t="s">
        <v>1</v>
      </c>
    </row>
    <row r="12" spans="1:25" ht="19.5" customHeight="1" thickBot="1">
      <c r="A12" s="90"/>
      <c r="B12" s="43"/>
      <c r="C12" s="91" t="s">
        <v>9</v>
      </c>
      <c r="D12" s="92"/>
      <c r="E12" s="92"/>
      <c r="F12" s="92"/>
      <c r="G12" s="92"/>
      <c r="H12" s="92"/>
      <c r="I12" s="92"/>
      <c r="J12" s="93"/>
      <c r="K12" s="12">
        <f>SUM(K8:K11)</f>
        <v>554091</v>
      </c>
      <c r="L12" s="3" t="s">
        <v>1</v>
      </c>
      <c r="N12" s="98"/>
      <c r="O12" s="42"/>
      <c r="P12" s="99" t="s">
        <v>9</v>
      </c>
      <c r="Q12" s="99"/>
      <c r="R12" s="99"/>
      <c r="S12" s="99"/>
      <c r="T12" s="99"/>
      <c r="U12" s="99"/>
      <c r="V12" s="99"/>
      <c r="W12" s="100"/>
      <c r="X12" s="33">
        <f>SUM(X8:X11)</f>
        <v>186631</v>
      </c>
      <c r="Y12" s="24" t="s">
        <v>1</v>
      </c>
    </row>
    <row r="13" spans="1:25" ht="19.5" customHeight="1" thickBot="1">
      <c r="A13" s="13" t="s">
        <v>10</v>
      </c>
      <c r="B13" s="44"/>
      <c r="C13" s="32">
        <v>29300</v>
      </c>
      <c r="D13" s="10" t="s">
        <v>1</v>
      </c>
      <c r="E13" s="10" t="s">
        <v>4</v>
      </c>
      <c r="F13" s="52">
        <v>2</v>
      </c>
      <c r="G13" s="10" t="s">
        <v>11</v>
      </c>
      <c r="H13" s="10"/>
      <c r="I13" s="10"/>
      <c r="J13" s="11"/>
      <c r="K13" s="12">
        <f>C13*F13</f>
        <v>58600</v>
      </c>
      <c r="L13" s="3" t="s">
        <v>1</v>
      </c>
      <c r="N13" s="13" t="s">
        <v>10</v>
      </c>
      <c r="O13" s="40"/>
      <c r="P13" s="26">
        <v>9900</v>
      </c>
      <c r="Q13" s="10" t="s">
        <v>1</v>
      </c>
      <c r="R13" s="10" t="s">
        <v>4</v>
      </c>
      <c r="S13" s="34">
        <f>F13</f>
        <v>2</v>
      </c>
      <c r="T13" s="10" t="s">
        <v>11</v>
      </c>
      <c r="U13" s="10"/>
      <c r="V13" s="10"/>
      <c r="W13" s="11"/>
      <c r="X13" s="12">
        <f>P13*S13</f>
        <v>19800</v>
      </c>
      <c r="Y13" s="18" t="s">
        <v>1</v>
      </c>
    </row>
    <row r="14" spans="1:25" ht="19.5" customHeight="1" thickBot="1">
      <c r="A14" s="14" t="s">
        <v>12</v>
      </c>
      <c r="B14" s="45"/>
      <c r="C14" s="75" t="s">
        <v>13</v>
      </c>
      <c r="D14" s="75"/>
      <c r="E14" s="75"/>
      <c r="F14" s="75"/>
      <c r="G14" s="75"/>
      <c r="H14" s="75"/>
      <c r="I14" s="75"/>
      <c r="J14" s="76"/>
      <c r="K14" s="36">
        <v>23800</v>
      </c>
      <c r="L14" s="3" t="s">
        <v>1</v>
      </c>
      <c r="N14" s="14" t="s">
        <v>12</v>
      </c>
      <c r="O14" s="39"/>
      <c r="P14" s="74" t="s">
        <v>13</v>
      </c>
      <c r="Q14" s="75"/>
      <c r="R14" s="75"/>
      <c r="S14" s="75"/>
      <c r="T14" s="75"/>
      <c r="U14" s="75"/>
      <c r="V14" s="75"/>
      <c r="W14" s="76"/>
      <c r="X14" s="32">
        <v>7800</v>
      </c>
      <c r="Y14" s="18" t="s">
        <v>1</v>
      </c>
    </row>
    <row r="15" spans="1:25" ht="19.5" customHeight="1" thickBot="1">
      <c r="A15" s="77" t="s">
        <v>17</v>
      </c>
      <c r="B15" s="78"/>
      <c r="C15" s="78"/>
      <c r="D15" s="78"/>
      <c r="E15" s="78"/>
      <c r="F15" s="78"/>
      <c r="G15" s="78"/>
      <c r="H15" s="78"/>
      <c r="I15" s="78"/>
      <c r="J15" s="79"/>
      <c r="K15" s="35">
        <f>(K12+K13+K14)-610000</f>
        <v>26491</v>
      </c>
      <c r="L15" s="3" t="s">
        <v>1</v>
      </c>
      <c r="N15" s="77" t="s">
        <v>17</v>
      </c>
      <c r="O15" s="78"/>
      <c r="P15" s="78"/>
      <c r="Q15" s="78"/>
      <c r="R15" s="78"/>
      <c r="S15" s="78"/>
      <c r="T15" s="78"/>
      <c r="U15" s="78"/>
      <c r="V15" s="78"/>
      <c r="W15" s="79"/>
      <c r="X15" s="35">
        <f>(X12+X13+X14)-190000</f>
        <v>24231</v>
      </c>
      <c r="Y15" s="18" t="s">
        <v>1</v>
      </c>
    </row>
    <row r="16" spans="1:25" ht="19.5" customHeight="1" thickBot="1">
      <c r="A16" s="82" t="s">
        <v>39</v>
      </c>
      <c r="B16" s="83"/>
      <c r="C16" s="83"/>
      <c r="D16" s="83"/>
      <c r="E16" s="83"/>
      <c r="F16" s="83"/>
      <c r="G16" s="83"/>
      <c r="H16" s="83"/>
      <c r="I16" s="83"/>
      <c r="J16" s="84"/>
      <c r="K16" s="21">
        <f>IF(OR(F13="",F13=0),"",IF(ROUNDDOWN(K12+K13+K14,-2)&gt;610000,610000,ROUNDDOWN(K12+K13+K14,-2)))</f>
        <v>610000</v>
      </c>
      <c r="L16" s="22" t="s">
        <v>1</v>
      </c>
      <c r="N16" s="82" t="s">
        <v>18</v>
      </c>
      <c r="O16" s="83"/>
      <c r="P16" s="83"/>
      <c r="Q16" s="83"/>
      <c r="R16" s="83"/>
      <c r="S16" s="83"/>
      <c r="T16" s="83"/>
      <c r="U16" s="83"/>
      <c r="V16" s="83"/>
      <c r="W16" s="84"/>
      <c r="X16" s="21">
        <f>IF(OR(S13="",S13=0),"",IF(ROUNDDOWN(X12+X13+X14,-2)&gt;190000,190000,ROUNDDOWN(X12+X13+X14,-2)))</f>
        <v>190000</v>
      </c>
      <c r="Y16" s="23" t="s">
        <v>1</v>
      </c>
    </row>
    <row r="19" spans="15:24" ht="13.5">
      <c r="O19" s="95" t="s">
        <v>31</v>
      </c>
      <c r="P19" s="95"/>
      <c r="Q19" s="95"/>
      <c r="R19" s="95"/>
      <c r="S19" s="95"/>
      <c r="T19" s="95"/>
      <c r="U19" s="95"/>
      <c r="V19" s="95"/>
      <c r="W19" s="95"/>
      <c r="X19" s="95"/>
    </row>
    <row r="20" spans="15:24" ht="14.25" thickBot="1">
      <c r="O20" s="95"/>
      <c r="P20" s="95"/>
      <c r="Q20" s="95"/>
      <c r="R20" s="95"/>
      <c r="S20" s="95"/>
      <c r="T20" s="95"/>
      <c r="U20" s="95"/>
      <c r="V20" s="95"/>
      <c r="W20" s="95"/>
      <c r="X20" s="95"/>
    </row>
    <row r="21" spans="1:24" ht="14.25" thickBot="1">
      <c r="A21" s="5" t="s">
        <v>7</v>
      </c>
      <c r="B21" s="86" t="s">
        <v>0</v>
      </c>
      <c r="C21" s="94"/>
      <c r="D21" s="85"/>
      <c r="E21" s="6"/>
      <c r="F21" s="85" t="s">
        <v>3</v>
      </c>
      <c r="G21" s="85"/>
      <c r="H21" s="6"/>
      <c r="I21" s="6"/>
      <c r="J21" s="7" t="s">
        <v>5</v>
      </c>
      <c r="K21" s="86" t="s">
        <v>6</v>
      </c>
      <c r="L21" s="87"/>
      <c r="N21" s="19"/>
      <c r="O21" s="95"/>
      <c r="P21" s="95"/>
      <c r="Q21" s="95"/>
      <c r="R21" s="95"/>
      <c r="S21" s="95"/>
      <c r="T21" s="95"/>
      <c r="U21" s="95"/>
      <c r="V21" s="95"/>
      <c r="W21" s="95"/>
      <c r="X21" s="95"/>
    </row>
    <row r="22" spans="1:24" ht="19.5" customHeight="1" thickBot="1">
      <c r="A22" s="88" t="s">
        <v>8</v>
      </c>
      <c r="B22" s="47" t="s">
        <v>19</v>
      </c>
      <c r="C22" s="50">
        <v>10000000</v>
      </c>
      <c r="D22" s="2" t="s">
        <v>1</v>
      </c>
      <c r="E22" s="2" t="s">
        <v>2</v>
      </c>
      <c r="F22" s="4">
        <v>330000</v>
      </c>
      <c r="G22" s="2" t="s">
        <v>1</v>
      </c>
      <c r="H22" s="2" t="s">
        <v>21</v>
      </c>
      <c r="I22" s="2" t="s">
        <v>4</v>
      </c>
      <c r="J22" s="15">
        <v>0.0185</v>
      </c>
      <c r="K22" s="31">
        <f>IF(C22&lt;=330000,0,ROUNDDOWN((C22-F22)*J22,0))</f>
        <v>178895</v>
      </c>
      <c r="L22" s="8" t="s">
        <v>1</v>
      </c>
      <c r="O22" s="1" t="s">
        <v>24</v>
      </c>
      <c r="P22" s="20" t="s">
        <v>32</v>
      </c>
      <c r="Q22" s="38"/>
      <c r="R22" s="38"/>
      <c r="S22" s="38"/>
      <c r="T22" s="28"/>
      <c r="U22" s="28"/>
      <c r="V22" s="28"/>
      <c r="W22" s="28"/>
      <c r="X22" s="28"/>
    </row>
    <row r="23" spans="1:24" ht="19.5" customHeight="1" thickBot="1">
      <c r="A23" s="89"/>
      <c r="B23" s="48" t="s">
        <v>20</v>
      </c>
      <c r="C23" s="50"/>
      <c r="D23" s="2" t="s">
        <v>1</v>
      </c>
      <c r="E23" s="2" t="s">
        <v>2</v>
      </c>
      <c r="F23" s="4">
        <v>330000</v>
      </c>
      <c r="G23" s="2" t="s">
        <v>1</v>
      </c>
      <c r="H23" s="2" t="s">
        <v>22</v>
      </c>
      <c r="I23" s="2" t="s">
        <v>4</v>
      </c>
      <c r="J23" s="15">
        <v>0.0185</v>
      </c>
      <c r="K23" s="31">
        <f>IF(C23&lt;=330000,0,ROUNDDOWN((C23-F23)*J23,0))</f>
        <v>0</v>
      </c>
      <c r="L23" s="8" t="s">
        <v>1</v>
      </c>
      <c r="N23" s="19"/>
      <c r="O23" s="1" t="s">
        <v>24</v>
      </c>
      <c r="P23" s="20" t="s">
        <v>25</v>
      </c>
      <c r="Q23" s="29"/>
      <c r="R23" s="20"/>
      <c r="S23" s="38"/>
      <c r="T23" s="20"/>
      <c r="U23" s="20"/>
      <c r="V23" s="20"/>
      <c r="W23" s="20"/>
      <c r="X23" s="20"/>
    </row>
    <row r="24" spans="1:24" ht="19.5" customHeight="1" thickBot="1">
      <c r="A24" s="89"/>
      <c r="B24" s="48" t="s">
        <v>20</v>
      </c>
      <c r="C24" s="50"/>
      <c r="D24" s="2" t="s">
        <v>1</v>
      </c>
      <c r="E24" s="2" t="s">
        <v>2</v>
      </c>
      <c r="F24" s="4">
        <v>330000</v>
      </c>
      <c r="G24" s="2" t="s">
        <v>1</v>
      </c>
      <c r="H24" s="2" t="s">
        <v>23</v>
      </c>
      <c r="I24" s="2" t="s">
        <v>4</v>
      </c>
      <c r="J24" s="15">
        <v>0.0185</v>
      </c>
      <c r="K24" s="31">
        <f>IF(C24&lt;=330000,0,ROUNDDOWN((C24-F24)*J24,0))</f>
        <v>0</v>
      </c>
      <c r="L24" s="8" t="s">
        <v>1</v>
      </c>
      <c r="O24" s="1" t="s">
        <v>24</v>
      </c>
      <c r="P24" s="20" t="s">
        <v>26</v>
      </c>
      <c r="Q24" s="38"/>
      <c r="R24" s="38"/>
      <c r="S24" s="38"/>
      <c r="T24" s="20"/>
      <c r="U24" s="20"/>
      <c r="V24" s="20"/>
      <c r="W24" s="20"/>
      <c r="X24" s="20"/>
    </row>
    <row r="25" spans="1:24" ht="19.5" customHeight="1" thickBot="1">
      <c r="A25" s="89"/>
      <c r="B25" s="48" t="s">
        <v>20</v>
      </c>
      <c r="C25" s="50"/>
      <c r="D25" s="2" t="s">
        <v>1</v>
      </c>
      <c r="E25" s="2" t="s">
        <v>2</v>
      </c>
      <c r="F25" s="4">
        <v>330000</v>
      </c>
      <c r="G25" s="2" t="s">
        <v>1</v>
      </c>
      <c r="H25" s="2" t="s">
        <v>23</v>
      </c>
      <c r="I25" s="2" t="s">
        <v>4</v>
      </c>
      <c r="J25" s="15">
        <v>0.0185</v>
      </c>
      <c r="K25" s="31">
        <f>IF(C25&lt;=330000,0,ROUNDDOWN((C25-F25)*J25,0))</f>
        <v>0</v>
      </c>
      <c r="L25" s="9" t="s">
        <v>1</v>
      </c>
      <c r="O25" s="1" t="s">
        <v>24</v>
      </c>
      <c r="P25" s="20" t="s">
        <v>29</v>
      </c>
      <c r="Q25" s="29"/>
      <c r="R25" s="20"/>
      <c r="S25" s="20"/>
      <c r="T25" s="20"/>
      <c r="U25" s="20"/>
      <c r="V25" s="20"/>
      <c r="W25" s="20"/>
      <c r="X25" s="20"/>
    </row>
    <row r="26" spans="1:24" ht="19.5" customHeight="1" thickBot="1">
      <c r="A26" s="90"/>
      <c r="B26" s="43"/>
      <c r="C26" s="91" t="s">
        <v>9</v>
      </c>
      <c r="D26" s="92"/>
      <c r="E26" s="92"/>
      <c r="F26" s="92"/>
      <c r="G26" s="92"/>
      <c r="H26" s="92"/>
      <c r="I26" s="92"/>
      <c r="J26" s="93"/>
      <c r="K26" s="12">
        <f>SUM(K22:K25)</f>
        <v>178895</v>
      </c>
      <c r="L26" s="3" t="s">
        <v>1</v>
      </c>
      <c r="P26" s="27" t="s">
        <v>28</v>
      </c>
      <c r="Q26" s="29"/>
      <c r="R26" s="20"/>
      <c r="S26" s="20"/>
      <c r="T26" s="20"/>
      <c r="U26" s="20"/>
      <c r="V26" s="20"/>
      <c r="W26" s="20"/>
      <c r="X26" s="20"/>
    </row>
    <row r="27" spans="1:24" ht="19.5" customHeight="1" thickBot="1">
      <c r="A27" s="13" t="s">
        <v>10</v>
      </c>
      <c r="B27" s="40"/>
      <c r="C27" s="26">
        <v>12400</v>
      </c>
      <c r="D27" s="10" t="s">
        <v>1</v>
      </c>
      <c r="E27" s="10" t="s">
        <v>4</v>
      </c>
      <c r="F27" s="52">
        <v>1</v>
      </c>
      <c r="G27" s="10" t="s">
        <v>11</v>
      </c>
      <c r="H27" s="10"/>
      <c r="I27" s="10"/>
      <c r="J27" s="11"/>
      <c r="K27" s="12">
        <f>C27*F27</f>
        <v>12400</v>
      </c>
      <c r="L27" s="3" t="s">
        <v>1</v>
      </c>
      <c r="O27" s="1"/>
      <c r="P27" s="20" t="s">
        <v>27</v>
      </c>
      <c r="Q27" s="20"/>
      <c r="R27" s="20"/>
      <c r="S27" s="20"/>
      <c r="T27" s="20"/>
      <c r="U27" s="20"/>
      <c r="V27" s="20"/>
      <c r="W27" s="20"/>
      <c r="X27" s="20"/>
    </row>
    <row r="28" spans="1:24" ht="19.5" customHeight="1" thickBot="1">
      <c r="A28" s="14" t="s">
        <v>12</v>
      </c>
      <c r="B28" s="39"/>
      <c r="C28" s="74" t="s">
        <v>13</v>
      </c>
      <c r="D28" s="75"/>
      <c r="E28" s="75"/>
      <c r="F28" s="75"/>
      <c r="G28" s="75"/>
      <c r="H28" s="75"/>
      <c r="I28" s="75"/>
      <c r="J28" s="76"/>
      <c r="K28" s="37">
        <v>7000</v>
      </c>
      <c r="L28" s="25" t="s">
        <v>1</v>
      </c>
      <c r="O28" s="1" t="s">
        <v>24</v>
      </c>
      <c r="P28" s="20" t="s">
        <v>33</v>
      </c>
      <c r="Q28" s="20"/>
      <c r="R28" s="20"/>
      <c r="S28" s="20"/>
      <c r="T28" s="20"/>
      <c r="U28" s="20"/>
      <c r="V28" s="20"/>
      <c r="W28" s="20"/>
      <c r="X28" s="20"/>
    </row>
    <row r="29" spans="1:24" ht="19.5" customHeight="1" thickBot="1">
      <c r="A29" s="77" t="s">
        <v>17</v>
      </c>
      <c r="B29" s="78"/>
      <c r="C29" s="78"/>
      <c r="D29" s="78"/>
      <c r="E29" s="78"/>
      <c r="F29" s="78"/>
      <c r="G29" s="78"/>
      <c r="H29" s="78"/>
      <c r="I29" s="78"/>
      <c r="J29" s="79"/>
      <c r="K29" s="35">
        <f>(K26+K27+K28)-160000</f>
        <v>38295</v>
      </c>
      <c r="L29" s="3" t="s">
        <v>1</v>
      </c>
      <c r="O29" s="1"/>
      <c r="P29" s="20" t="s">
        <v>35</v>
      </c>
      <c r="Q29" s="20"/>
      <c r="R29" s="20"/>
      <c r="S29" s="20"/>
      <c r="T29" s="20"/>
      <c r="U29" s="20"/>
      <c r="V29" s="20"/>
      <c r="W29" s="20"/>
      <c r="X29" s="20"/>
    </row>
    <row r="30" spans="1:24" ht="19.5" customHeight="1" thickBot="1">
      <c r="A30" s="82" t="s">
        <v>16</v>
      </c>
      <c r="B30" s="83"/>
      <c r="C30" s="83"/>
      <c r="D30" s="83"/>
      <c r="E30" s="83"/>
      <c r="F30" s="83"/>
      <c r="G30" s="83"/>
      <c r="H30" s="83"/>
      <c r="I30" s="83"/>
      <c r="J30" s="84"/>
      <c r="K30" s="21">
        <f>IF(OR(F27="",F27=0),"",IF(ROUNDDOWN(K26+K27+K28,-2)&gt;160000,160000,ROUNDDOWN(K26+K27+K28,-2)))</f>
        <v>160000</v>
      </c>
      <c r="L30" s="22" t="s">
        <v>1</v>
      </c>
      <c r="O30" s="1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9.5" customHeight="1" thickBot="1">
      <c r="A31" s="80" t="s">
        <v>14</v>
      </c>
      <c r="B31" s="81"/>
      <c r="C31" s="81"/>
      <c r="D31" s="81"/>
      <c r="E31" s="81"/>
      <c r="F31" s="81"/>
      <c r="G31" s="81"/>
      <c r="H31" s="81"/>
      <c r="I31" s="81"/>
      <c r="J31" s="81"/>
      <c r="K31" s="21">
        <f>IF(AND(OR(F13&lt;&gt;"",F13&lt;&gt;0),OR(F27="",F27=0)),K16+X16,IF(ISERROR(K16+X16+K30),"",K16+X16+K30))</f>
        <v>960000</v>
      </c>
      <c r="L31" s="22" t="s">
        <v>1</v>
      </c>
      <c r="N31" s="53" t="s">
        <v>34</v>
      </c>
      <c r="O31" s="49"/>
      <c r="P31" s="30" t="s">
        <v>30</v>
      </c>
      <c r="Q31" s="29"/>
      <c r="R31" s="29"/>
      <c r="S31" s="20"/>
      <c r="T31" s="20"/>
      <c r="U31" s="20"/>
      <c r="V31" s="20"/>
      <c r="W31" s="20"/>
      <c r="X31" s="20"/>
    </row>
    <row r="32" spans="1:18" ht="19.5" customHeight="1" thickBot="1">
      <c r="A32" s="80" t="s">
        <v>15</v>
      </c>
      <c r="B32" s="81"/>
      <c r="C32" s="81"/>
      <c r="D32" s="81"/>
      <c r="E32" s="81"/>
      <c r="F32" s="81"/>
      <c r="G32" s="81"/>
      <c r="H32" s="81"/>
      <c r="I32" s="81"/>
      <c r="J32" s="81"/>
      <c r="K32" s="12">
        <f>IF(ISERROR(ROUNDDOWN($K$31/12,0)),"",ROUNDDOWN($K$31/12,0))</f>
        <v>80000</v>
      </c>
      <c r="L32" s="3" t="s">
        <v>1</v>
      </c>
      <c r="P32" s="20"/>
      <c r="Q32" s="20"/>
      <c r="R32" s="20"/>
    </row>
    <row r="33" ht="24.75" customHeight="1"/>
  </sheetData>
  <sheetProtection/>
  <mergeCells count="29">
    <mergeCell ref="C1:J2"/>
    <mergeCell ref="A6:C6"/>
    <mergeCell ref="C7:D7"/>
    <mergeCell ref="F7:G7"/>
    <mergeCell ref="K7:L7"/>
    <mergeCell ref="S7:T7"/>
    <mergeCell ref="X7:Y7"/>
    <mergeCell ref="A8:A12"/>
    <mergeCell ref="N8:N12"/>
    <mergeCell ref="C12:J12"/>
    <mergeCell ref="P12:W12"/>
    <mergeCell ref="O7:Q7"/>
    <mergeCell ref="N16:W16"/>
    <mergeCell ref="F21:G21"/>
    <mergeCell ref="K21:L21"/>
    <mergeCell ref="A22:A26"/>
    <mergeCell ref="C26:J26"/>
    <mergeCell ref="B21:D21"/>
    <mergeCell ref="O19:X21"/>
    <mergeCell ref="P14:W14"/>
    <mergeCell ref="A15:J15"/>
    <mergeCell ref="N15:W15"/>
    <mergeCell ref="C14:J14"/>
    <mergeCell ref="A32:J32"/>
    <mergeCell ref="C28:J28"/>
    <mergeCell ref="A29:J29"/>
    <mergeCell ref="A30:J30"/>
    <mergeCell ref="A31:J31"/>
    <mergeCell ref="A16:J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32"/>
  <sheetViews>
    <sheetView view="pageBreakPreview" zoomScaleNormal="85" zoomScaleSheetLayoutView="100" workbookViewId="0" topLeftCell="D19">
      <selection activeCell="P25" sqref="P25"/>
    </sheetView>
  </sheetViews>
  <sheetFormatPr defaultColWidth="9.00390625" defaultRowHeight="13.5"/>
  <cols>
    <col min="2" max="2" width="3.375" style="0" customWidth="1"/>
    <col min="3" max="3" width="19.625" style="0" customWidth="1"/>
    <col min="4" max="5" width="3.375" style="1" customWidth="1"/>
    <col min="6" max="6" width="9.50390625" style="0" bestFit="1" customWidth="1"/>
    <col min="7" max="7" width="3.375" style="1" bestFit="1" customWidth="1"/>
    <col min="8" max="8" width="3.375" style="1" customWidth="1"/>
    <col min="9" max="9" width="3.375" style="1" bestFit="1" customWidth="1"/>
    <col min="10" max="10" width="9.25390625" style="0" bestFit="1" customWidth="1"/>
    <col min="11" max="11" width="15.625" style="0" customWidth="1"/>
    <col min="12" max="12" width="3.375" style="0" bestFit="1" customWidth="1"/>
    <col min="13" max="13" width="2.625" style="0" customWidth="1"/>
    <col min="15" max="15" width="3.375" style="0" customWidth="1"/>
    <col min="16" max="16" width="19.625" style="0" customWidth="1"/>
    <col min="17" max="17" width="3.50390625" style="0" bestFit="1" customWidth="1"/>
    <col min="18" max="18" width="3.375" style="0" bestFit="1" customWidth="1"/>
    <col min="20" max="20" width="3.375" style="0" bestFit="1" customWidth="1"/>
    <col min="21" max="21" width="3.375" style="0" customWidth="1"/>
    <col min="22" max="22" width="3.375" style="0" bestFit="1" customWidth="1"/>
    <col min="23" max="23" width="9.25390625" style="0" bestFit="1" customWidth="1"/>
    <col min="24" max="24" width="15.625" style="0" customWidth="1"/>
    <col min="25" max="25" width="3.375" style="1" bestFit="1" customWidth="1"/>
    <col min="26" max="26" width="7.625" style="0" customWidth="1"/>
  </cols>
  <sheetData>
    <row r="1" spans="3:10" ht="13.5">
      <c r="C1" s="101"/>
      <c r="D1" s="101"/>
      <c r="E1" s="101"/>
      <c r="F1" s="101"/>
      <c r="G1" s="101"/>
      <c r="H1" s="101"/>
      <c r="I1" s="101"/>
      <c r="J1" s="101"/>
    </row>
    <row r="2" spans="3:10" ht="13.5">
      <c r="C2" s="101"/>
      <c r="D2" s="101"/>
      <c r="E2" s="101"/>
      <c r="F2" s="101"/>
      <c r="G2" s="101"/>
      <c r="H2" s="101"/>
      <c r="I2" s="101"/>
      <c r="J2" s="101"/>
    </row>
    <row r="5" spans="17:22" ht="13.5">
      <c r="Q5" s="1"/>
      <c r="R5" s="1"/>
      <c r="T5" s="1"/>
      <c r="U5" s="1"/>
      <c r="V5" s="1"/>
    </row>
    <row r="6" spans="1:22" ht="23.25" customHeight="1" thickBot="1">
      <c r="A6" s="101"/>
      <c r="B6" s="101"/>
      <c r="C6" s="101"/>
      <c r="Q6" s="1"/>
      <c r="R6" s="1"/>
      <c r="T6" s="1"/>
      <c r="U6" s="1"/>
      <c r="V6" s="1"/>
    </row>
    <row r="7" spans="1:25" ht="14.25" thickBot="1">
      <c r="A7" s="46" t="s">
        <v>7</v>
      </c>
      <c r="B7" s="41"/>
      <c r="C7" s="102" t="s">
        <v>0</v>
      </c>
      <c r="D7" s="86"/>
      <c r="E7" s="6"/>
      <c r="F7" s="85" t="s">
        <v>3</v>
      </c>
      <c r="G7" s="85"/>
      <c r="H7" s="6"/>
      <c r="I7" s="6"/>
      <c r="J7" s="7" t="s">
        <v>5</v>
      </c>
      <c r="K7" s="86" t="s">
        <v>6</v>
      </c>
      <c r="L7" s="87"/>
      <c r="N7" s="5" t="s">
        <v>7</v>
      </c>
      <c r="O7" s="86" t="s">
        <v>0</v>
      </c>
      <c r="P7" s="85"/>
      <c r="Q7" s="85"/>
      <c r="R7" s="6"/>
      <c r="S7" s="85" t="s">
        <v>3</v>
      </c>
      <c r="T7" s="85"/>
      <c r="U7" s="6"/>
      <c r="V7" s="6"/>
      <c r="W7" s="7" t="s">
        <v>5</v>
      </c>
      <c r="X7" s="86" t="s">
        <v>6</v>
      </c>
      <c r="Y7" s="87"/>
    </row>
    <row r="8" spans="1:25" ht="19.5" customHeight="1" thickBot="1">
      <c r="A8" s="88" t="s">
        <v>8</v>
      </c>
      <c r="B8" s="47" t="s">
        <v>19</v>
      </c>
      <c r="C8" s="50"/>
      <c r="D8" s="2" t="s">
        <v>1</v>
      </c>
      <c r="E8" s="2" t="s">
        <v>2</v>
      </c>
      <c r="F8" s="4">
        <v>330000</v>
      </c>
      <c r="G8" s="2" t="s">
        <v>1</v>
      </c>
      <c r="H8" s="2" t="s">
        <v>21</v>
      </c>
      <c r="I8" s="2" t="s">
        <v>4</v>
      </c>
      <c r="J8" s="15">
        <v>0.0573</v>
      </c>
      <c r="K8" s="31">
        <f>IF(C8&lt;=330000,0,ROUNDDOWN((C8-F8)*J8,0))</f>
        <v>0</v>
      </c>
      <c r="L8" s="8" t="s">
        <v>1</v>
      </c>
      <c r="N8" s="96" t="s">
        <v>8</v>
      </c>
      <c r="O8" s="48" t="s">
        <v>19</v>
      </c>
      <c r="P8" s="4">
        <f>C8</f>
        <v>0</v>
      </c>
      <c r="Q8" s="2" t="s">
        <v>1</v>
      </c>
      <c r="R8" s="2" t="s">
        <v>2</v>
      </c>
      <c r="S8" s="4">
        <v>330000</v>
      </c>
      <c r="T8" s="2" t="s">
        <v>1</v>
      </c>
      <c r="U8" s="2" t="s">
        <v>21</v>
      </c>
      <c r="V8" s="2" t="s">
        <v>4</v>
      </c>
      <c r="W8" s="15">
        <v>0.0193</v>
      </c>
      <c r="X8" s="31">
        <f>IF(P8&lt;=330000,0,ROUNDDOWN((P8-S8)*W8,0))</f>
        <v>0</v>
      </c>
      <c r="Y8" s="16" t="s">
        <v>1</v>
      </c>
    </row>
    <row r="9" spans="1:25" ht="19.5" customHeight="1" thickBot="1">
      <c r="A9" s="89"/>
      <c r="B9" s="48" t="s">
        <v>19</v>
      </c>
      <c r="C9" s="50"/>
      <c r="D9" s="2" t="s">
        <v>1</v>
      </c>
      <c r="E9" s="2" t="s">
        <v>2</v>
      </c>
      <c r="F9" s="4">
        <v>330000</v>
      </c>
      <c r="G9" s="2" t="s">
        <v>1</v>
      </c>
      <c r="H9" s="2" t="s">
        <v>21</v>
      </c>
      <c r="I9" s="2" t="s">
        <v>4</v>
      </c>
      <c r="J9" s="15">
        <v>0.0573</v>
      </c>
      <c r="K9" s="31">
        <f>IF(C9&lt;=330000,0,ROUNDDOWN((C9-F9)*J9,0))</f>
        <v>0</v>
      </c>
      <c r="L9" s="8" t="s">
        <v>1</v>
      </c>
      <c r="N9" s="97"/>
      <c r="O9" s="48" t="s">
        <v>19</v>
      </c>
      <c r="P9" s="4">
        <f>C9</f>
        <v>0</v>
      </c>
      <c r="Q9" s="2" t="s">
        <v>1</v>
      </c>
      <c r="R9" s="2" t="s">
        <v>2</v>
      </c>
      <c r="S9" s="4">
        <v>330000</v>
      </c>
      <c r="T9" s="2" t="s">
        <v>1</v>
      </c>
      <c r="U9" s="2" t="s">
        <v>21</v>
      </c>
      <c r="V9" s="2" t="s">
        <v>4</v>
      </c>
      <c r="W9" s="15">
        <v>0.0193</v>
      </c>
      <c r="X9" s="31">
        <f>IF(P9&lt;=330000,0,ROUNDDOWN((P9-S9)*W9,0))</f>
        <v>0</v>
      </c>
      <c r="Y9" s="16" t="s">
        <v>1</v>
      </c>
    </row>
    <row r="10" spans="1:25" ht="19.5" customHeight="1" thickBot="1">
      <c r="A10" s="89"/>
      <c r="B10" s="48" t="s">
        <v>19</v>
      </c>
      <c r="C10" s="51"/>
      <c r="D10" s="2" t="s">
        <v>1</v>
      </c>
      <c r="E10" s="2" t="s">
        <v>2</v>
      </c>
      <c r="F10" s="4">
        <v>330000</v>
      </c>
      <c r="G10" s="2" t="s">
        <v>1</v>
      </c>
      <c r="H10" s="2" t="s">
        <v>21</v>
      </c>
      <c r="I10" s="2" t="s">
        <v>4</v>
      </c>
      <c r="J10" s="15">
        <v>0.0573</v>
      </c>
      <c r="K10" s="31">
        <f>IF(C10&lt;=330000,0,ROUNDDOWN((C10-F10)*J10,0))</f>
        <v>0</v>
      </c>
      <c r="L10" s="8" t="s">
        <v>1</v>
      </c>
      <c r="N10" s="97"/>
      <c r="O10" s="48" t="s">
        <v>19</v>
      </c>
      <c r="P10" s="4">
        <f>C10</f>
        <v>0</v>
      </c>
      <c r="Q10" s="2" t="s">
        <v>1</v>
      </c>
      <c r="R10" s="2" t="s">
        <v>2</v>
      </c>
      <c r="S10" s="4">
        <v>330000</v>
      </c>
      <c r="T10" s="2" t="s">
        <v>1</v>
      </c>
      <c r="U10" s="2" t="s">
        <v>21</v>
      </c>
      <c r="V10" s="2" t="s">
        <v>4</v>
      </c>
      <c r="W10" s="15">
        <v>0.0193</v>
      </c>
      <c r="X10" s="31">
        <f>IF(P10&lt;=330000,0,ROUNDDOWN((P10-S10)*W10,0))</f>
        <v>0</v>
      </c>
      <c r="Y10" s="16" t="s">
        <v>1</v>
      </c>
    </row>
    <row r="11" spans="1:25" ht="19.5" customHeight="1" thickBot="1">
      <c r="A11" s="89"/>
      <c r="B11" s="48" t="s">
        <v>19</v>
      </c>
      <c r="C11" s="51"/>
      <c r="D11" s="2" t="s">
        <v>1</v>
      </c>
      <c r="E11" s="2" t="s">
        <v>2</v>
      </c>
      <c r="F11" s="4">
        <v>330000</v>
      </c>
      <c r="G11" s="2" t="s">
        <v>1</v>
      </c>
      <c r="H11" s="2" t="s">
        <v>21</v>
      </c>
      <c r="I11" s="2" t="s">
        <v>4</v>
      </c>
      <c r="J11" s="15">
        <v>0.0573</v>
      </c>
      <c r="K11" s="31">
        <f>IF(C11&lt;=330000,0,ROUNDDOWN((C11-F11)*J11,0))</f>
        <v>0</v>
      </c>
      <c r="L11" s="9" t="s">
        <v>1</v>
      </c>
      <c r="N11" s="97"/>
      <c r="O11" s="48" t="s">
        <v>19</v>
      </c>
      <c r="P11" s="4">
        <f>C11</f>
        <v>0</v>
      </c>
      <c r="Q11" s="2" t="s">
        <v>1</v>
      </c>
      <c r="R11" s="2" t="s">
        <v>2</v>
      </c>
      <c r="S11" s="4">
        <v>330000</v>
      </c>
      <c r="T11" s="2" t="s">
        <v>1</v>
      </c>
      <c r="U11" s="2" t="s">
        <v>21</v>
      </c>
      <c r="V11" s="2" t="s">
        <v>4</v>
      </c>
      <c r="W11" s="15">
        <v>0.0193</v>
      </c>
      <c r="X11" s="31">
        <f>IF(P11&lt;=330000,0,ROUNDDOWN((P11-S11)*W11,0))</f>
        <v>0</v>
      </c>
      <c r="Y11" s="17" t="s">
        <v>1</v>
      </c>
    </row>
    <row r="12" spans="1:25" ht="19.5" customHeight="1" thickBot="1">
      <c r="A12" s="90"/>
      <c r="B12" s="43"/>
      <c r="C12" s="91" t="s">
        <v>9</v>
      </c>
      <c r="D12" s="92"/>
      <c r="E12" s="92"/>
      <c r="F12" s="92"/>
      <c r="G12" s="92"/>
      <c r="H12" s="92"/>
      <c r="I12" s="92"/>
      <c r="J12" s="93"/>
      <c r="K12" s="12">
        <f>SUM(K8:K11)</f>
        <v>0</v>
      </c>
      <c r="L12" s="3" t="s">
        <v>1</v>
      </c>
      <c r="N12" s="98"/>
      <c r="O12" s="42"/>
      <c r="P12" s="99" t="s">
        <v>9</v>
      </c>
      <c r="Q12" s="99"/>
      <c r="R12" s="99"/>
      <c r="S12" s="99"/>
      <c r="T12" s="99"/>
      <c r="U12" s="99"/>
      <c r="V12" s="99"/>
      <c r="W12" s="100"/>
      <c r="X12" s="33">
        <f>SUM(X8:X11)</f>
        <v>0</v>
      </c>
      <c r="Y12" s="24" t="s">
        <v>1</v>
      </c>
    </row>
    <row r="13" spans="1:25" ht="19.5" customHeight="1" thickBot="1">
      <c r="A13" s="13" t="s">
        <v>10</v>
      </c>
      <c r="B13" s="44"/>
      <c r="C13" s="32">
        <v>29300</v>
      </c>
      <c r="D13" s="10" t="s">
        <v>1</v>
      </c>
      <c r="E13" s="10" t="s">
        <v>4</v>
      </c>
      <c r="F13" s="52"/>
      <c r="G13" s="10" t="s">
        <v>11</v>
      </c>
      <c r="H13" s="10"/>
      <c r="I13" s="10"/>
      <c r="J13" s="11"/>
      <c r="K13" s="12">
        <f>C13*F13</f>
        <v>0</v>
      </c>
      <c r="L13" s="3" t="s">
        <v>1</v>
      </c>
      <c r="N13" s="13" t="s">
        <v>10</v>
      </c>
      <c r="O13" s="40"/>
      <c r="P13" s="26">
        <v>9900</v>
      </c>
      <c r="Q13" s="10" t="s">
        <v>1</v>
      </c>
      <c r="R13" s="10" t="s">
        <v>4</v>
      </c>
      <c r="S13" s="34">
        <f>F13</f>
        <v>0</v>
      </c>
      <c r="T13" s="10" t="s">
        <v>11</v>
      </c>
      <c r="U13" s="10"/>
      <c r="V13" s="10"/>
      <c r="W13" s="11"/>
      <c r="X13" s="12">
        <f>P13*S13</f>
        <v>0</v>
      </c>
      <c r="Y13" s="18" t="s">
        <v>1</v>
      </c>
    </row>
    <row r="14" spans="1:25" ht="19.5" customHeight="1" thickBot="1">
      <c r="A14" s="14" t="s">
        <v>12</v>
      </c>
      <c r="B14" s="45"/>
      <c r="C14" s="75" t="s">
        <v>13</v>
      </c>
      <c r="D14" s="75"/>
      <c r="E14" s="75"/>
      <c r="F14" s="75"/>
      <c r="G14" s="75"/>
      <c r="H14" s="75"/>
      <c r="I14" s="75"/>
      <c r="J14" s="76"/>
      <c r="K14" s="36">
        <v>23800</v>
      </c>
      <c r="L14" s="3" t="s">
        <v>1</v>
      </c>
      <c r="N14" s="14" t="s">
        <v>12</v>
      </c>
      <c r="O14" s="39"/>
      <c r="P14" s="74" t="s">
        <v>13</v>
      </c>
      <c r="Q14" s="75"/>
      <c r="R14" s="75"/>
      <c r="S14" s="75"/>
      <c r="T14" s="75"/>
      <c r="U14" s="75"/>
      <c r="V14" s="75"/>
      <c r="W14" s="76"/>
      <c r="X14" s="32">
        <v>7800</v>
      </c>
      <c r="Y14" s="18" t="s">
        <v>1</v>
      </c>
    </row>
    <row r="15" spans="1:25" ht="19.5" customHeight="1" thickBot="1">
      <c r="A15" s="77" t="s">
        <v>17</v>
      </c>
      <c r="B15" s="78"/>
      <c r="C15" s="78"/>
      <c r="D15" s="78"/>
      <c r="E15" s="78"/>
      <c r="F15" s="78"/>
      <c r="G15" s="78"/>
      <c r="H15" s="78"/>
      <c r="I15" s="78"/>
      <c r="J15" s="79"/>
      <c r="K15" s="35">
        <f>(K12+K13+K14)-630000</f>
        <v>-606200</v>
      </c>
      <c r="L15" s="3" t="s">
        <v>1</v>
      </c>
      <c r="N15" s="77" t="s">
        <v>17</v>
      </c>
      <c r="O15" s="78"/>
      <c r="P15" s="78"/>
      <c r="Q15" s="78"/>
      <c r="R15" s="78"/>
      <c r="S15" s="78"/>
      <c r="T15" s="78"/>
      <c r="U15" s="78"/>
      <c r="V15" s="78"/>
      <c r="W15" s="79"/>
      <c r="X15" s="35">
        <f>(X12+X13+X14)-190000</f>
        <v>-182200</v>
      </c>
      <c r="Y15" s="18" t="s">
        <v>1</v>
      </c>
    </row>
    <row r="16" spans="1:25" ht="19.5" customHeight="1" thickBot="1">
      <c r="A16" s="82" t="s">
        <v>36</v>
      </c>
      <c r="B16" s="83"/>
      <c r="C16" s="83"/>
      <c r="D16" s="83"/>
      <c r="E16" s="83"/>
      <c r="F16" s="83"/>
      <c r="G16" s="83"/>
      <c r="H16" s="83"/>
      <c r="I16" s="83"/>
      <c r="J16" s="84"/>
      <c r="K16" s="21">
        <f>IF(OR(F13="",F13=0),"",IF(ROUNDDOWN(K12+K13+K14,-2)&gt;630000,630000,ROUNDDOWN(K12+K13+K14,-2)))</f>
      </c>
      <c r="L16" s="22" t="s">
        <v>1</v>
      </c>
      <c r="N16" s="82" t="s">
        <v>18</v>
      </c>
      <c r="O16" s="83"/>
      <c r="P16" s="83"/>
      <c r="Q16" s="83"/>
      <c r="R16" s="83"/>
      <c r="S16" s="83"/>
      <c r="T16" s="83"/>
      <c r="U16" s="83"/>
      <c r="V16" s="83"/>
      <c r="W16" s="84"/>
      <c r="X16" s="21">
        <f>IF(OR(S13="",S13=0),"",IF(ROUNDDOWN(X12+X13+X14,-2)&gt;190000,190000,ROUNDDOWN(X12+X13+X14,-2)))</f>
      </c>
      <c r="Y16" s="23" t="s">
        <v>1</v>
      </c>
    </row>
    <row r="19" spans="15:24" ht="13.5">
      <c r="O19" s="95" t="s">
        <v>31</v>
      </c>
      <c r="P19" s="95"/>
      <c r="Q19" s="95"/>
      <c r="R19" s="95"/>
      <c r="S19" s="95"/>
      <c r="T19" s="95"/>
      <c r="U19" s="95"/>
      <c r="V19" s="95"/>
      <c r="W19" s="95"/>
      <c r="X19" s="95"/>
    </row>
    <row r="20" spans="15:24" ht="14.25" thickBot="1">
      <c r="O20" s="95"/>
      <c r="P20" s="95"/>
      <c r="Q20" s="95"/>
      <c r="R20" s="95"/>
      <c r="S20" s="95"/>
      <c r="T20" s="95"/>
      <c r="U20" s="95"/>
      <c r="V20" s="95"/>
      <c r="W20" s="95"/>
      <c r="X20" s="95"/>
    </row>
    <row r="21" spans="1:24" ht="14.25" thickBot="1">
      <c r="A21" s="5" t="s">
        <v>7</v>
      </c>
      <c r="B21" s="86" t="s">
        <v>0</v>
      </c>
      <c r="C21" s="94"/>
      <c r="D21" s="85"/>
      <c r="E21" s="6"/>
      <c r="F21" s="85" t="s">
        <v>3</v>
      </c>
      <c r="G21" s="85"/>
      <c r="H21" s="6"/>
      <c r="I21" s="6"/>
      <c r="J21" s="7" t="s">
        <v>5</v>
      </c>
      <c r="K21" s="86" t="s">
        <v>6</v>
      </c>
      <c r="L21" s="87"/>
      <c r="N21" s="19"/>
      <c r="O21" s="95"/>
      <c r="P21" s="95"/>
      <c r="Q21" s="95"/>
      <c r="R21" s="95"/>
      <c r="S21" s="95"/>
      <c r="T21" s="95"/>
      <c r="U21" s="95"/>
      <c r="V21" s="95"/>
      <c r="W21" s="95"/>
      <c r="X21" s="95"/>
    </row>
    <row r="22" spans="1:24" ht="19.5" customHeight="1" thickBot="1">
      <c r="A22" s="88" t="s">
        <v>8</v>
      </c>
      <c r="B22" s="47" t="s">
        <v>19</v>
      </c>
      <c r="C22" s="50"/>
      <c r="D22" s="2" t="s">
        <v>1</v>
      </c>
      <c r="E22" s="2" t="s">
        <v>2</v>
      </c>
      <c r="F22" s="4">
        <v>330000</v>
      </c>
      <c r="G22" s="2" t="s">
        <v>1</v>
      </c>
      <c r="H22" s="2" t="s">
        <v>21</v>
      </c>
      <c r="I22" s="2" t="s">
        <v>4</v>
      </c>
      <c r="J22" s="15">
        <v>0.0185</v>
      </c>
      <c r="K22" s="31">
        <f>IF(C22&lt;=330000,0,ROUNDDOWN((C22-F22)*J22,0))</f>
        <v>0</v>
      </c>
      <c r="L22" s="8" t="s">
        <v>1</v>
      </c>
      <c r="O22" s="1" t="s">
        <v>24</v>
      </c>
      <c r="P22" s="20" t="s">
        <v>32</v>
      </c>
      <c r="Q22" s="38"/>
      <c r="R22" s="38"/>
      <c r="S22" s="38"/>
      <c r="T22" s="28"/>
      <c r="U22" s="28"/>
      <c r="V22" s="28"/>
      <c r="W22" s="28"/>
      <c r="X22" s="28"/>
    </row>
    <row r="23" spans="1:24" ht="19.5" customHeight="1" thickBot="1">
      <c r="A23" s="89"/>
      <c r="B23" s="48" t="s">
        <v>19</v>
      </c>
      <c r="C23" s="50"/>
      <c r="D23" s="2" t="s">
        <v>1</v>
      </c>
      <c r="E23" s="2" t="s">
        <v>2</v>
      </c>
      <c r="F23" s="4">
        <v>330000</v>
      </c>
      <c r="G23" s="2" t="s">
        <v>1</v>
      </c>
      <c r="H23" s="2" t="s">
        <v>21</v>
      </c>
      <c r="I23" s="2" t="s">
        <v>4</v>
      </c>
      <c r="J23" s="15">
        <v>0.0185</v>
      </c>
      <c r="K23" s="31">
        <f>IF(C23&lt;=330000,0,ROUNDDOWN((C23-F23)*J23,0))</f>
        <v>0</v>
      </c>
      <c r="L23" s="8" t="s">
        <v>1</v>
      </c>
      <c r="N23" s="19"/>
      <c r="O23" s="1" t="s">
        <v>24</v>
      </c>
      <c r="P23" s="20" t="s">
        <v>38</v>
      </c>
      <c r="Q23" s="29"/>
      <c r="R23" s="20"/>
      <c r="S23" s="38"/>
      <c r="T23" s="20"/>
      <c r="U23" s="20"/>
      <c r="V23" s="20"/>
      <c r="W23" s="20"/>
      <c r="X23" s="20"/>
    </row>
    <row r="24" spans="1:24" ht="19.5" customHeight="1" thickBot="1">
      <c r="A24" s="89"/>
      <c r="B24" s="48" t="s">
        <v>19</v>
      </c>
      <c r="C24" s="50"/>
      <c r="D24" s="2" t="s">
        <v>1</v>
      </c>
      <c r="E24" s="2" t="s">
        <v>2</v>
      </c>
      <c r="F24" s="4">
        <v>330000</v>
      </c>
      <c r="G24" s="2" t="s">
        <v>1</v>
      </c>
      <c r="H24" s="2" t="s">
        <v>21</v>
      </c>
      <c r="I24" s="2" t="s">
        <v>4</v>
      </c>
      <c r="J24" s="15">
        <v>0.0185</v>
      </c>
      <c r="K24" s="31">
        <f>IF(C24&lt;=330000,0,ROUNDDOWN((C24-F24)*J24,0))</f>
        <v>0</v>
      </c>
      <c r="L24" s="8" t="s">
        <v>1</v>
      </c>
      <c r="O24" s="1" t="s">
        <v>24</v>
      </c>
      <c r="P24" s="20" t="s">
        <v>26</v>
      </c>
      <c r="Q24" s="38"/>
      <c r="R24" s="38"/>
      <c r="S24" s="38"/>
      <c r="T24" s="20"/>
      <c r="U24" s="20"/>
      <c r="V24" s="20"/>
      <c r="W24" s="20"/>
      <c r="X24" s="20"/>
    </row>
    <row r="25" spans="1:24" ht="19.5" customHeight="1" thickBot="1">
      <c r="A25" s="89"/>
      <c r="B25" s="48" t="s">
        <v>19</v>
      </c>
      <c r="C25" s="50"/>
      <c r="D25" s="2" t="s">
        <v>1</v>
      </c>
      <c r="E25" s="2" t="s">
        <v>2</v>
      </c>
      <c r="F25" s="4">
        <v>330000</v>
      </c>
      <c r="G25" s="2" t="s">
        <v>1</v>
      </c>
      <c r="H25" s="2" t="s">
        <v>21</v>
      </c>
      <c r="I25" s="2" t="s">
        <v>4</v>
      </c>
      <c r="J25" s="15">
        <v>0.0185</v>
      </c>
      <c r="K25" s="31">
        <f>IF(C25&lt;=330000,0,ROUNDDOWN((C25-F25)*J25,0))</f>
        <v>0</v>
      </c>
      <c r="L25" s="9" t="s">
        <v>1</v>
      </c>
      <c r="O25" s="1" t="s">
        <v>24</v>
      </c>
      <c r="P25" s="20" t="s">
        <v>29</v>
      </c>
      <c r="Q25" s="29"/>
      <c r="R25" s="20"/>
      <c r="S25" s="20"/>
      <c r="T25" s="20"/>
      <c r="U25" s="20"/>
      <c r="V25" s="20"/>
      <c r="W25" s="20"/>
      <c r="X25" s="20"/>
    </row>
    <row r="26" spans="1:24" ht="19.5" customHeight="1" thickBot="1">
      <c r="A26" s="90"/>
      <c r="B26" s="43"/>
      <c r="C26" s="91" t="s">
        <v>9</v>
      </c>
      <c r="D26" s="92"/>
      <c r="E26" s="92"/>
      <c r="F26" s="92"/>
      <c r="G26" s="92"/>
      <c r="H26" s="92"/>
      <c r="I26" s="92"/>
      <c r="J26" s="93"/>
      <c r="K26" s="12">
        <f>SUM(K22:K25)</f>
        <v>0</v>
      </c>
      <c r="L26" s="3" t="s">
        <v>1</v>
      </c>
      <c r="P26" s="27" t="s">
        <v>28</v>
      </c>
      <c r="Q26" s="29"/>
      <c r="R26" s="20"/>
      <c r="S26" s="20"/>
      <c r="T26" s="20"/>
      <c r="U26" s="20"/>
      <c r="V26" s="20"/>
      <c r="W26" s="20"/>
      <c r="X26" s="20"/>
    </row>
    <row r="27" spans="1:24" ht="19.5" customHeight="1" thickBot="1">
      <c r="A27" s="13" t="s">
        <v>10</v>
      </c>
      <c r="B27" s="40"/>
      <c r="C27" s="26">
        <v>12400</v>
      </c>
      <c r="D27" s="10" t="s">
        <v>1</v>
      </c>
      <c r="E27" s="10" t="s">
        <v>4</v>
      </c>
      <c r="F27" s="52"/>
      <c r="G27" s="10" t="s">
        <v>11</v>
      </c>
      <c r="H27" s="10"/>
      <c r="I27" s="10"/>
      <c r="J27" s="11"/>
      <c r="K27" s="12">
        <f>C27*F27</f>
        <v>0</v>
      </c>
      <c r="L27" s="3" t="s">
        <v>1</v>
      </c>
      <c r="O27" s="1"/>
      <c r="P27" s="20" t="s">
        <v>27</v>
      </c>
      <c r="Q27" s="20"/>
      <c r="R27" s="20"/>
      <c r="S27" s="20"/>
      <c r="T27" s="20"/>
      <c r="U27" s="20"/>
      <c r="V27" s="20"/>
      <c r="W27" s="20"/>
      <c r="X27" s="20"/>
    </row>
    <row r="28" spans="1:24" ht="19.5" customHeight="1" thickBot="1">
      <c r="A28" s="14" t="s">
        <v>12</v>
      </c>
      <c r="B28" s="39"/>
      <c r="C28" s="74" t="s">
        <v>13</v>
      </c>
      <c r="D28" s="75"/>
      <c r="E28" s="75"/>
      <c r="F28" s="75"/>
      <c r="G28" s="75"/>
      <c r="H28" s="75"/>
      <c r="I28" s="75"/>
      <c r="J28" s="76"/>
      <c r="K28" s="37">
        <v>7000</v>
      </c>
      <c r="L28" s="25" t="s">
        <v>1</v>
      </c>
      <c r="O28" s="1" t="s">
        <v>24</v>
      </c>
      <c r="P28" s="20" t="s">
        <v>33</v>
      </c>
      <c r="Q28" s="20"/>
      <c r="R28" s="20"/>
      <c r="S28" s="20"/>
      <c r="T28" s="20"/>
      <c r="U28" s="20"/>
      <c r="V28" s="20"/>
      <c r="W28" s="20"/>
      <c r="X28" s="20"/>
    </row>
    <row r="29" spans="1:24" ht="19.5" customHeight="1" thickBot="1">
      <c r="A29" s="77" t="s">
        <v>17</v>
      </c>
      <c r="B29" s="78"/>
      <c r="C29" s="78"/>
      <c r="D29" s="78"/>
      <c r="E29" s="78"/>
      <c r="F29" s="78"/>
      <c r="G29" s="78"/>
      <c r="H29" s="78"/>
      <c r="I29" s="78"/>
      <c r="J29" s="79"/>
      <c r="K29" s="35">
        <f>(K26+K27+K28)-170000</f>
        <v>-163000</v>
      </c>
      <c r="L29" s="3" t="s">
        <v>1</v>
      </c>
      <c r="O29" s="1"/>
      <c r="P29" s="20" t="s">
        <v>35</v>
      </c>
      <c r="Q29" s="20"/>
      <c r="R29" s="20"/>
      <c r="S29" s="20"/>
      <c r="T29" s="20"/>
      <c r="U29" s="20"/>
      <c r="V29" s="20"/>
      <c r="W29" s="20"/>
      <c r="X29" s="20"/>
    </row>
    <row r="30" spans="1:24" ht="19.5" customHeight="1" thickBot="1">
      <c r="A30" s="82" t="s">
        <v>37</v>
      </c>
      <c r="B30" s="83"/>
      <c r="C30" s="83"/>
      <c r="D30" s="83"/>
      <c r="E30" s="83"/>
      <c r="F30" s="83"/>
      <c r="G30" s="83"/>
      <c r="H30" s="83"/>
      <c r="I30" s="83"/>
      <c r="J30" s="84"/>
      <c r="K30" s="21">
        <f>IF(OR(F27="",F27=0),"",IF(ROUNDDOWN(K26+K27+K28,-2)&gt;170000,170000,ROUNDDOWN(K26+K27+K28,-2)))</f>
      </c>
      <c r="L30" s="22" t="s">
        <v>1</v>
      </c>
      <c r="O30" s="1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9.5" customHeight="1" thickBot="1">
      <c r="A31" s="80" t="s">
        <v>14</v>
      </c>
      <c r="B31" s="81"/>
      <c r="C31" s="81"/>
      <c r="D31" s="81"/>
      <c r="E31" s="81"/>
      <c r="F31" s="81"/>
      <c r="G31" s="81"/>
      <c r="H31" s="81"/>
      <c r="I31" s="81"/>
      <c r="J31" s="81"/>
      <c r="K31" s="21">
        <f>IF(AND(OR(F13&lt;&gt;"",F13&lt;&gt;0),OR(F27="",F27=0)),K16+X16,IF(ISERROR(K16+X16+K30),"",K16+X16+K30))</f>
      </c>
      <c r="L31" s="22" t="s">
        <v>1</v>
      </c>
      <c r="N31" s="53" t="s">
        <v>34</v>
      </c>
      <c r="O31" s="49"/>
      <c r="P31" s="30" t="s">
        <v>41</v>
      </c>
      <c r="Q31" s="29"/>
      <c r="R31" s="29"/>
      <c r="S31" s="20"/>
      <c r="T31" s="20"/>
      <c r="U31" s="20"/>
      <c r="V31" s="20"/>
      <c r="W31" s="20"/>
      <c r="X31" s="20"/>
    </row>
    <row r="32" spans="1:18" ht="19.5" customHeight="1" thickBot="1">
      <c r="A32" s="80" t="s">
        <v>15</v>
      </c>
      <c r="B32" s="81"/>
      <c r="C32" s="81"/>
      <c r="D32" s="81"/>
      <c r="E32" s="81"/>
      <c r="F32" s="81"/>
      <c r="G32" s="81"/>
      <c r="H32" s="81"/>
      <c r="I32" s="81"/>
      <c r="J32" s="81"/>
      <c r="K32" s="12">
        <f>IF(ISERROR(ROUNDDOWN($K$31/12,0)),"",ROUNDDOWN($K$31/12,0))</f>
      </c>
      <c r="L32" s="3" t="s">
        <v>1</v>
      </c>
      <c r="P32" s="20"/>
      <c r="Q32" s="20"/>
      <c r="R32" s="20"/>
    </row>
    <row r="33" ht="24.75" customHeight="1"/>
  </sheetData>
  <sheetProtection/>
  <mergeCells count="29">
    <mergeCell ref="C28:J28"/>
    <mergeCell ref="A29:J29"/>
    <mergeCell ref="A30:J30"/>
    <mergeCell ref="A31:J31"/>
    <mergeCell ref="A32:J32"/>
    <mergeCell ref="O19:X21"/>
    <mergeCell ref="B21:D21"/>
    <mergeCell ref="F21:G21"/>
    <mergeCell ref="K21:L21"/>
    <mergeCell ref="A22:A26"/>
    <mergeCell ref="C26:J26"/>
    <mergeCell ref="C14:J14"/>
    <mergeCell ref="P14:W14"/>
    <mergeCell ref="A15:J15"/>
    <mergeCell ref="N15:W15"/>
    <mergeCell ref="A16:J16"/>
    <mergeCell ref="N16:W16"/>
    <mergeCell ref="S7:T7"/>
    <mergeCell ref="X7:Y7"/>
    <mergeCell ref="A8:A12"/>
    <mergeCell ref="N8:N12"/>
    <mergeCell ref="C12:J12"/>
    <mergeCell ref="P12:W12"/>
    <mergeCell ref="C1:J2"/>
    <mergeCell ref="A6:C6"/>
    <mergeCell ref="C7:D7"/>
    <mergeCell ref="F7:G7"/>
    <mergeCell ref="K7:L7"/>
    <mergeCell ref="O7:Q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6" r:id="rId2"/>
  <headerFooter alignWithMargins="0">
    <oddFooter>&amp;L&amp;Z&amp;F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Y32"/>
  <sheetViews>
    <sheetView view="pageBreakPreview" zoomScaleNormal="85" zoomScaleSheetLayoutView="100" workbookViewId="0" topLeftCell="A1">
      <selection activeCell="A14" sqref="A14:IV14"/>
    </sheetView>
  </sheetViews>
  <sheetFormatPr defaultColWidth="9.00390625" defaultRowHeight="13.5"/>
  <cols>
    <col min="2" max="2" width="3.375" style="0" customWidth="1"/>
    <col min="3" max="3" width="19.625" style="0" customWidth="1"/>
    <col min="4" max="5" width="3.375" style="1" customWidth="1"/>
    <col min="6" max="6" width="9.50390625" style="0" bestFit="1" customWidth="1"/>
    <col min="7" max="7" width="3.375" style="1" bestFit="1" customWidth="1"/>
    <col min="8" max="8" width="3.375" style="1" customWidth="1"/>
    <col min="9" max="9" width="3.375" style="1" bestFit="1" customWidth="1"/>
    <col min="10" max="10" width="9.25390625" style="0" bestFit="1" customWidth="1"/>
    <col min="11" max="11" width="15.625" style="0" customWidth="1"/>
    <col min="12" max="12" width="3.375" style="0" bestFit="1" customWidth="1"/>
    <col min="13" max="13" width="2.625" style="0" customWidth="1"/>
    <col min="15" max="15" width="3.375" style="0" customWidth="1"/>
    <col min="16" max="16" width="19.625" style="0" customWidth="1"/>
    <col min="17" max="17" width="3.50390625" style="0" bestFit="1" customWidth="1"/>
    <col min="18" max="18" width="3.375" style="0" bestFit="1" customWidth="1"/>
    <col min="20" max="20" width="3.375" style="0" bestFit="1" customWidth="1"/>
    <col min="21" max="21" width="3.375" style="0" customWidth="1"/>
    <col min="22" max="22" width="3.375" style="0" bestFit="1" customWidth="1"/>
    <col min="23" max="23" width="9.25390625" style="0" bestFit="1" customWidth="1"/>
    <col min="24" max="24" width="15.625" style="0" customWidth="1"/>
    <col min="25" max="25" width="3.375" style="1" bestFit="1" customWidth="1"/>
    <col min="26" max="26" width="7.625" style="0" customWidth="1"/>
  </cols>
  <sheetData>
    <row r="1" spans="3:10" ht="13.5">
      <c r="C1" s="101"/>
      <c r="D1" s="101"/>
      <c r="E1" s="101"/>
      <c r="F1" s="101"/>
      <c r="G1" s="101"/>
      <c r="H1" s="101"/>
      <c r="I1" s="101"/>
      <c r="J1" s="101"/>
    </row>
    <row r="2" spans="3:10" ht="13.5">
      <c r="C2" s="101"/>
      <c r="D2" s="101"/>
      <c r="E2" s="101"/>
      <c r="F2" s="101"/>
      <c r="G2" s="101"/>
      <c r="H2" s="101"/>
      <c r="I2" s="101"/>
      <c r="J2" s="101"/>
    </row>
    <row r="5" spans="17:22" ht="13.5">
      <c r="Q5" s="1"/>
      <c r="R5" s="1"/>
      <c r="T5" s="1"/>
      <c r="U5" s="1"/>
      <c r="V5" s="1"/>
    </row>
    <row r="6" spans="1:22" ht="23.25" customHeight="1" thickBot="1">
      <c r="A6" s="101"/>
      <c r="B6" s="101"/>
      <c r="C6" s="101"/>
      <c r="Q6" s="1"/>
      <c r="R6" s="1"/>
      <c r="T6" s="1"/>
      <c r="U6" s="1"/>
      <c r="V6" s="1"/>
    </row>
    <row r="7" spans="1:25" ht="14.25" thickBot="1">
      <c r="A7" s="46" t="s">
        <v>7</v>
      </c>
      <c r="B7" s="41"/>
      <c r="C7" s="102" t="s">
        <v>0</v>
      </c>
      <c r="D7" s="86"/>
      <c r="E7" s="6"/>
      <c r="F7" s="94" t="s">
        <v>3</v>
      </c>
      <c r="G7" s="85"/>
      <c r="H7" s="6"/>
      <c r="I7" s="6"/>
      <c r="J7" s="7" t="s">
        <v>5</v>
      </c>
      <c r="K7" s="86" t="s">
        <v>6</v>
      </c>
      <c r="L7" s="87"/>
      <c r="N7" s="5" t="s">
        <v>7</v>
      </c>
      <c r="O7" s="86" t="s">
        <v>0</v>
      </c>
      <c r="P7" s="85"/>
      <c r="Q7" s="85"/>
      <c r="R7" s="6"/>
      <c r="S7" s="85" t="s">
        <v>3</v>
      </c>
      <c r="T7" s="85"/>
      <c r="U7" s="6"/>
      <c r="V7" s="6"/>
      <c r="W7" s="7" t="s">
        <v>5</v>
      </c>
      <c r="X7" s="86" t="s">
        <v>6</v>
      </c>
      <c r="Y7" s="87"/>
    </row>
    <row r="8" spans="1:25" ht="19.5" customHeight="1" thickBot="1">
      <c r="A8" s="88" t="s">
        <v>8</v>
      </c>
      <c r="B8" s="47" t="s">
        <v>19</v>
      </c>
      <c r="C8" s="50">
        <v>8000000</v>
      </c>
      <c r="D8" s="2" t="s">
        <v>1</v>
      </c>
      <c r="E8" s="2" t="s">
        <v>2</v>
      </c>
      <c r="F8" s="55">
        <v>430000</v>
      </c>
      <c r="G8" s="2" t="s">
        <v>1</v>
      </c>
      <c r="H8" s="2" t="s">
        <v>21</v>
      </c>
      <c r="I8" s="2" t="s">
        <v>4</v>
      </c>
      <c r="J8" s="15">
        <v>0.0573</v>
      </c>
      <c r="K8" s="31">
        <f>IF(C8&lt;=F8,0,ROUNDDOWN((C8-F8)*J8,0))</f>
        <v>433761</v>
      </c>
      <c r="L8" s="8" t="s">
        <v>1</v>
      </c>
      <c r="N8" s="96" t="s">
        <v>8</v>
      </c>
      <c r="O8" s="48" t="s">
        <v>19</v>
      </c>
      <c r="P8" s="4">
        <f>C8</f>
        <v>8000000</v>
      </c>
      <c r="Q8" s="2" t="s">
        <v>1</v>
      </c>
      <c r="R8" s="2" t="s">
        <v>2</v>
      </c>
      <c r="S8" s="4">
        <f>F8</f>
        <v>430000</v>
      </c>
      <c r="T8" s="2" t="s">
        <v>1</v>
      </c>
      <c r="U8" s="2" t="s">
        <v>21</v>
      </c>
      <c r="V8" s="2" t="s">
        <v>4</v>
      </c>
      <c r="W8" s="15">
        <v>0.0193</v>
      </c>
      <c r="X8" s="31">
        <f>IF(P8&lt;=S8,0,ROUNDDOWN((P8-S8)*W8,0))</f>
        <v>146101</v>
      </c>
      <c r="Y8" s="16" t="s">
        <v>1</v>
      </c>
    </row>
    <row r="9" spans="1:25" ht="19.5" customHeight="1" thickBot="1">
      <c r="A9" s="89"/>
      <c r="B9" s="48" t="s">
        <v>19</v>
      </c>
      <c r="C9" s="50">
        <v>8500000</v>
      </c>
      <c r="D9" s="2" t="s">
        <v>1</v>
      </c>
      <c r="E9" s="2" t="s">
        <v>2</v>
      </c>
      <c r="F9" s="55">
        <v>450000</v>
      </c>
      <c r="G9" s="2" t="s">
        <v>1</v>
      </c>
      <c r="H9" s="2" t="s">
        <v>21</v>
      </c>
      <c r="I9" s="2" t="s">
        <v>4</v>
      </c>
      <c r="J9" s="15">
        <v>0.0573</v>
      </c>
      <c r="K9" s="31">
        <f>IF(C9&lt;=F8,0,ROUNDDOWN((C9-F9)*J9,0))</f>
        <v>461265</v>
      </c>
      <c r="L9" s="8" t="s">
        <v>1</v>
      </c>
      <c r="N9" s="97"/>
      <c r="O9" s="48" t="s">
        <v>19</v>
      </c>
      <c r="P9" s="4">
        <f>C9</f>
        <v>8500000</v>
      </c>
      <c r="Q9" s="2" t="s">
        <v>1</v>
      </c>
      <c r="R9" s="2" t="s">
        <v>2</v>
      </c>
      <c r="S9" s="4">
        <f>F9</f>
        <v>450000</v>
      </c>
      <c r="T9" s="2" t="s">
        <v>1</v>
      </c>
      <c r="U9" s="2" t="s">
        <v>21</v>
      </c>
      <c r="V9" s="2" t="s">
        <v>4</v>
      </c>
      <c r="W9" s="15">
        <v>0.0193</v>
      </c>
      <c r="X9" s="31">
        <f>IF(P9&lt;=S9,0,ROUNDDOWN((P9-S9)*W9,0))</f>
        <v>155365</v>
      </c>
      <c r="Y9" s="16" t="s">
        <v>1</v>
      </c>
    </row>
    <row r="10" spans="1:25" ht="19.5" customHeight="1" thickBot="1">
      <c r="A10" s="89"/>
      <c r="B10" s="48" t="s">
        <v>19</v>
      </c>
      <c r="C10" s="51"/>
      <c r="D10" s="2" t="s">
        <v>1</v>
      </c>
      <c r="E10" s="2" t="s">
        <v>2</v>
      </c>
      <c r="F10" s="55">
        <v>0</v>
      </c>
      <c r="G10" s="2" t="s">
        <v>1</v>
      </c>
      <c r="H10" s="2" t="s">
        <v>21</v>
      </c>
      <c r="I10" s="2" t="s">
        <v>4</v>
      </c>
      <c r="J10" s="15">
        <v>0.0573</v>
      </c>
      <c r="K10" s="31">
        <f>IF(C10&lt;=F10,0,ROUNDDOWN((C10-F10)*J10,0))</f>
        <v>0</v>
      </c>
      <c r="L10" s="8" t="s">
        <v>1</v>
      </c>
      <c r="N10" s="97"/>
      <c r="O10" s="48" t="s">
        <v>19</v>
      </c>
      <c r="P10" s="4">
        <f>C10</f>
        <v>0</v>
      </c>
      <c r="Q10" s="2" t="s">
        <v>1</v>
      </c>
      <c r="R10" s="2" t="s">
        <v>2</v>
      </c>
      <c r="S10" s="4">
        <f>F10</f>
        <v>0</v>
      </c>
      <c r="T10" s="2" t="s">
        <v>1</v>
      </c>
      <c r="U10" s="2" t="s">
        <v>21</v>
      </c>
      <c r="V10" s="2" t="s">
        <v>4</v>
      </c>
      <c r="W10" s="15">
        <v>0.0193</v>
      </c>
      <c r="X10" s="31">
        <f>IF(P10&lt;=S10,0,ROUNDDOWN((P10-S10)*W10,0))</f>
        <v>0</v>
      </c>
      <c r="Y10" s="16" t="s">
        <v>1</v>
      </c>
    </row>
    <row r="11" spans="1:25" ht="19.5" customHeight="1" thickBot="1">
      <c r="A11" s="89"/>
      <c r="B11" s="48" t="s">
        <v>19</v>
      </c>
      <c r="C11" s="51"/>
      <c r="D11" s="2" t="s">
        <v>1</v>
      </c>
      <c r="E11" s="2" t="s">
        <v>2</v>
      </c>
      <c r="F11" s="55">
        <v>0</v>
      </c>
      <c r="G11" s="2" t="s">
        <v>1</v>
      </c>
      <c r="H11" s="2" t="s">
        <v>21</v>
      </c>
      <c r="I11" s="2" t="s">
        <v>4</v>
      </c>
      <c r="J11" s="15">
        <v>0.0573</v>
      </c>
      <c r="K11" s="31">
        <f>IF(C11&lt;=F10,0,ROUNDDOWN((C11-F11)*J11,0))</f>
        <v>0</v>
      </c>
      <c r="L11" s="9" t="s">
        <v>1</v>
      </c>
      <c r="N11" s="97"/>
      <c r="O11" s="48" t="s">
        <v>19</v>
      </c>
      <c r="P11" s="4">
        <f>C11</f>
        <v>0</v>
      </c>
      <c r="Q11" s="2" t="s">
        <v>1</v>
      </c>
      <c r="R11" s="2" t="s">
        <v>2</v>
      </c>
      <c r="S11" s="4">
        <f>F11</f>
        <v>0</v>
      </c>
      <c r="T11" s="2" t="s">
        <v>1</v>
      </c>
      <c r="U11" s="2" t="s">
        <v>21</v>
      </c>
      <c r="V11" s="2" t="s">
        <v>4</v>
      </c>
      <c r="W11" s="15">
        <v>0.0193</v>
      </c>
      <c r="X11" s="31">
        <f>IF(P11&lt;=S11,0,ROUNDDOWN((P11-S11)*W11,0))</f>
        <v>0</v>
      </c>
      <c r="Y11" s="17" t="s">
        <v>1</v>
      </c>
    </row>
    <row r="12" spans="1:25" ht="19.5" customHeight="1" thickBot="1">
      <c r="A12" s="90"/>
      <c r="B12" s="43"/>
      <c r="C12" s="91" t="s">
        <v>9</v>
      </c>
      <c r="D12" s="92"/>
      <c r="E12" s="92"/>
      <c r="F12" s="103"/>
      <c r="G12" s="92"/>
      <c r="H12" s="92"/>
      <c r="I12" s="92"/>
      <c r="J12" s="93"/>
      <c r="K12" s="12">
        <f>SUM(K8:K11)</f>
        <v>895026</v>
      </c>
      <c r="L12" s="3" t="s">
        <v>1</v>
      </c>
      <c r="N12" s="98"/>
      <c r="O12" s="42"/>
      <c r="P12" s="99" t="s">
        <v>9</v>
      </c>
      <c r="Q12" s="99"/>
      <c r="R12" s="99"/>
      <c r="S12" s="99"/>
      <c r="T12" s="99"/>
      <c r="U12" s="99"/>
      <c r="V12" s="99"/>
      <c r="W12" s="100"/>
      <c r="X12" s="33">
        <f>SUM(X8:X11)</f>
        <v>301466</v>
      </c>
      <c r="Y12" s="24" t="s">
        <v>1</v>
      </c>
    </row>
    <row r="13" spans="1:25" ht="19.5" customHeight="1" thickBot="1">
      <c r="A13" s="13" t="s">
        <v>10</v>
      </c>
      <c r="B13" s="44"/>
      <c r="C13" s="32">
        <v>29300</v>
      </c>
      <c r="D13" s="10" t="s">
        <v>1</v>
      </c>
      <c r="E13" s="10" t="s">
        <v>4</v>
      </c>
      <c r="F13" s="52">
        <v>4</v>
      </c>
      <c r="G13" s="10" t="s">
        <v>11</v>
      </c>
      <c r="H13" s="10"/>
      <c r="I13" s="10"/>
      <c r="J13" s="11"/>
      <c r="K13" s="12">
        <f>C13*F13</f>
        <v>117200</v>
      </c>
      <c r="L13" s="3" t="s">
        <v>1</v>
      </c>
      <c r="N13" s="13" t="s">
        <v>10</v>
      </c>
      <c r="O13" s="40"/>
      <c r="P13" s="26">
        <v>9900</v>
      </c>
      <c r="Q13" s="10" t="s">
        <v>1</v>
      </c>
      <c r="R13" s="10" t="s">
        <v>4</v>
      </c>
      <c r="S13" s="34">
        <f>F13</f>
        <v>4</v>
      </c>
      <c r="T13" s="10" t="s">
        <v>11</v>
      </c>
      <c r="U13" s="10"/>
      <c r="V13" s="10"/>
      <c r="W13" s="11"/>
      <c r="X13" s="12">
        <f>P13*S13</f>
        <v>39600</v>
      </c>
      <c r="Y13" s="18" t="s">
        <v>1</v>
      </c>
    </row>
    <row r="14" spans="1:25" ht="19.5" customHeight="1" thickBot="1">
      <c r="A14" s="14" t="s">
        <v>12</v>
      </c>
      <c r="B14" s="45"/>
      <c r="C14" s="75" t="s">
        <v>13</v>
      </c>
      <c r="D14" s="75"/>
      <c r="E14" s="75"/>
      <c r="F14" s="75"/>
      <c r="G14" s="75"/>
      <c r="H14" s="75"/>
      <c r="I14" s="75"/>
      <c r="J14" s="76"/>
      <c r="K14" s="36">
        <v>23800</v>
      </c>
      <c r="L14" s="3" t="s">
        <v>1</v>
      </c>
      <c r="N14" s="14" t="s">
        <v>12</v>
      </c>
      <c r="O14" s="39"/>
      <c r="P14" s="74" t="s">
        <v>13</v>
      </c>
      <c r="Q14" s="75"/>
      <c r="R14" s="75"/>
      <c r="S14" s="75"/>
      <c r="T14" s="75"/>
      <c r="U14" s="75"/>
      <c r="V14" s="75"/>
      <c r="W14" s="76"/>
      <c r="X14" s="32">
        <v>7800</v>
      </c>
      <c r="Y14" s="18" t="s">
        <v>1</v>
      </c>
    </row>
    <row r="15" spans="1:25" ht="19.5" customHeight="1" thickBot="1">
      <c r="A15" s="77" t="s">
        <v>17</v>
      </c>
      <c r="B15" s="78"/>
      <c r="C15" s="78"/>
      <c r="D15" s="78"/>
      <c r="E15" s="78"/>
      <c r="F15" s="78"/>
      <c r="G15" s="78"/>
      <c r="H15" s="78"/>
      <c r="I15" s="78"/>
      <c r="J15" s="79"/>
      <c r="K15" s="35">
        <f>(K12+K13+K14)-630000</f>
        <v>406026</v>
      </c>
      <c r="L15" s="3" t="s">
        <v>1</v>
      </c>
      <c r="N15" s="77" t="s">
        <v>17</v>
      </c>
      <c r="O15" s="78"/>
      <c r="P15" s="78"/>
      <c r="Q15" s="78"/>
      <c r="R15" s="78"/>
      <c r="S15" s="78"/>
      <c r="T15" s="78"/>
      <c r="U15" s="78"/>
      <c r="V15" s="78"/>
      <c r="W15" s="79"/>
      <c r="X15" s="35">
        <f>(X12+X13+X14)-190000</f>
        <v>158866</v>
      </c>
      <c r="Y15" s="18" t="s">
        <v>1</v>
      </c>
    </row>
    <row r="16" spans="1:25" ht="19.5" customHeight="1" thickBot="1">
      <c r="A16" s="82" t="s">
        <v>36</v>
      </c>
      <c r="B16" s="83"/>
      <c r="C16" s="83"/>
      <c r="D16" s="83"/>
      <c r="E16" s="83"/>
      <c r="F16" s="83"/>
      <c r="G16" s="83"/>
      <c r="H16" s="83"/>
      <c r="I16" s="83"/>
      <c r="J16" s="84"/>
      <c r="K16" s="21">
        <f>IF(OR(F13="",F13=0),"",IF(ROUNDDOWN(K12+K13+K14,-2)&gt;630000,630000,ROUNDDOWN(K12+K13+K14,-2)))</f>
        <v>630000</v>
      </c>
      <c r="L16" s="22" t="s">
        <v>1</v>
      </c>
      <c r="N16" s="82" t="s">
        <v>18</v>
      </c>
      <c r="O16" s="83"/>
      <c r="P16" s="83"/>
      <c r="Q16" s="83"/>
      <c r="R16" s="83"/>
      <c r="S16" s="83"/>
      <c r="T16" s="83"/>
      <c r="U16" s="83"/>
      <c r="V16" s="83"/>
      <c r="W16" s="84"/>
      <c r="X16" s="21">
        <f>IF(OR(S13="",S13=0),"",IF(ROUNDDOWN(X12+X13+X14,-2)&gt;190000,190000,ROUNDDOWN(X12+X13+X14,-2)))</f>
        <v>190000</v>
      </c>
      <c r="Y16" s="23" t="s">
        <v>1</v>
      </c>
    </row>
    <row r="19" spans="15:24" ht="13.5">
      <c r="O19" s="95" t="s">
        <v>31</v>
      </c>
      <c r="P19" s="95"/>
      <c r="Q19" s="95"/>
      <c r="R19" s="95"/>
      <c r="S19" s="95"/>
      <c r="T19" s="95"/>
      <c r="U19" s="95"/>
      <c r="V19" s="95"/>
      <c r="W19" s="95"/>
      <c r="X19" s="95"/>
    </row>
    <row r="20" spans="15:24" ht="14.25" thickBot="1">
      <c r="O20" s="95"/>
      <c r="P20" s="95"/>
      <c r="Q20" s="95"/>
      <c r="R20" s="95"/>
      <c r="S20" s="95"/>
      <c r="T20" s="95"/>
      <c r="U20" s="95"/>
      <c r="V20" s="95"/>
      <c r="W20" s="95"/>
      <c r="X20" s="95"/>
    </row>
    <row r="21" spans="1:24" ht="14.25" thickBot="1">
      <c r="A21" s="5" t="s">
        <v>7</v>
      </c>
      <c r="B21" s="86" t="s">
        <v>0</v>
      </c>
      <c r="C21" s="94"/>
      <c r="D21" s="85"/>
      <c r="E21" s="6"/>
      <c r="F21" s="85" t="s">
        <v>3</v>
      </c>
      <c r="G21" s="85"/>
      <c r="H21" s="6"/>
      <c r="I21" s="6"/>
      <c r="J21" s="7" t="s">
        <v>5</v>
      </c>
      <c r="K21" s="86" t="s">
        <v>6</v>
      </c>
      <c r="L21" s="87"/>
      <c r="N21" s="19"/>
      <c r="O21" s="95"/>
      <c r="P21" s="95"/>
      <c r="Q21" s="95"/>
      <c r="R21" s="95"/>
      <c r="S21" s="95"/>
      <c r="T21" s="95"/>
      <c r="U21" s="95"/>
      <c r="V21" s="95"/>
      <c r="W21" s="95"/>
      <c r="X21" s="95"/>
    </row>
    <row r="22" spans="1:24" ht="19.5" customHeight="1" thickBot="1">
      <c r="A22" s="88" t="s">
        <v>8</v>
      </c>
      <c r="B22" s="47" t="s">
        <v>19</v>
      </c>
      <c r="C22" s="50">
        <v>8000000</v>
      </c>
      <c r="D22" s="2" t="s">
        <v>1</v>
      </c>
      <c r="E22" s="2" t="s">
        <v>2</v>
      </c>
      <c r="F22" s="4">
        <f>F8</f>
        <v>430000</v>
      </c>
      <c r="G22" s="2" t="s">
        <v>1</v>
      </c>
      <c r="H22" s="2" t="s">
        <v>21</v>
      </c>
      <c r="I22" s="2" t="s">
        <v>4</v>
      </c>
      <c r="J22" s="15">
        <v>0.0185</v>
      </c>
      <c r="K22" s="31">
        <f>IF(C22&lt;=F22,0,ROUNDDOWN((C22-F22)*J22,0))</f>
        <v>140045</v>
      </c>
      <c r="L22" s="8" t="s">
        <v>1</v>
      </c>
      <c r="O22" s="1" t="s">
        <v>24</v>
      </c>
      <c r="P22" s="20" t="s">
        <v>32</v>
      </c>
      <c r="Q22" s="38"/>
      <c r="R22" s="38"/>
      <c r="S22" s="38"/>
      <c r="T22" s="28"/>
      <c r="U22" s="28"/>
      <c r="V22" s="28"/>
      <c r="W22" s="28"/>
      <c r="X22" s="28"/>
    </row>
    <row r="23" spans="1:24" ht="19.5" customHeight="1" thickBot="1">
      <c r="A23" s="89"/>
      <c r="B23" s="48" t="s">
        <v>19</v>
      </c>
      <c r="C23" s="50">
        <v>8500000</v>
      </c>
      <c r="D23" s="2" t="s">
        <v>1</v>
      </c>
      <c r="E23" s="2" t="s">
        <v>2</v>
      </c>
      <c r="F23" s="4">
        <f>F9</f>
        <v>450000</v>
      </c>
      <c r="G23" s="2" t="s">
        <v>1</v>
      </c>
      <c r="H23" s="2" t="s">
        <v>21</v>
      </c>
      <c r="I23" s="2" t="s">
        <v>4</v>
      </c>
      <c r="J23" s="15">
        <v>0.0185</v>
      </c>
      <c r="K23" s="31">
        <f>IF(C23&lt;=F23,0,ROUNDDOWN((C23-F23)*J23,0))</f>
        <v>148925</v>
      </c>
      <c r="L23" s="8" t="s">
        <v>1</v>
      </c>
      <c r="N23" s="19"/>
      <c r="O23" s="1" t="s">
        <v>24</v>
      </c>
      <c r="P23" s="20" t="s">
        <v>38</v>
      </c>
      <c r="Q23" s="29"/>
      <c r="R23" s="20"/>
      <c r="S23" s="38"/>
      <c r="T23" s="20"/>
      <c r="U23" s="20"/>
      <c r="V23" s="20"/>
      <c r="W23" s="20"/>
      <c r="X23" s="20"/>
    </row>
    <row r="24" spans="1:24" ht="19.5" customHeight="1" thickBot="1">
      <c r="A24" s="89"/>
      <c r="B24" s="48" t="s">
        <v>19</v>
      </c>
      <c r="C24" s="50"/>
      <c r="D24" s="2" t="s">
        <v>1</v>
      </c>
      <c r="E24" s="2" t="s">
        <v>2</v>
      </c>
      <c r="F24" s="4">
        <f>F10</f>
        <v>0</v>
      </c>
      <c r="G24" s="2" t="s">
        <v>1</v>
      </c>
      <c r="H24" s="2" t="s">
        <v>21</v>
      </c>
      <c r="I24" s="2" t="s">
        <v>4</v>
      </c>
      <c r="J24" s="15">
        <v>0.0185</v>
      </c>
      <c r="K24" s="31">
        <f>IF(C24&lt;=F24,0,ROUNDDOWN((C24-F24)*J24,0))</f>
        <v>0</v>
      </c>
      <c r="L24" s="8" t="s">
        <v>1</v>
      </c>
      <c r="O24" s="1" t="s">
        <v>24</v>
      </c>
      <c r="P24" s="20" t="s">
        <v>26</v>
      </c>
      <c r="Q24" s="38"/>
      <c r="R24" s="38"/>
      <c r="S24" s="38"/>
      <c r="T24" s="20"/>
      <c r="U24" s="20"/>
      <c r="V24" s="20"/>
      <c r="W24" s="20"/>
      <c r="X24" s="20"/>
    </row>
    <row r="25" spans="1:24" ht="19.5" customHeight="1" thickBot="1">
      <c r="A25" s="89"/>
      <c r="B25" s="48" t="s">
        <v>19</v>
      </c>
      <c r="C25" s="50"/>
      <c r="D25" s="2" t="s">
        <v>1</v>
      </c>
      <c r="E25" s="2" t="s">
        <v>2</v>
      </c>
      <c r="F25" s="4">
        <f>F11</f>
        <v>0</v>
      </c>
      <c r="G25" s="2" t="s">
        <v>1</v>
      </c>
      <c r="H25" s="2" t="s">
        <v>21</v>
      </c>
      <c r="I25" s="2" t="s">
        <v>4</v>
      </c>
      <c r="J25" s="15">
        <v>0.0185</v>
      </c>
      <c r="K25" s="31">
        <f>IF(C25&lt;=F25,0,ROUNDDOWN((C25-F25)*J25,0))</f>
        <v>0</v>
      </c>
      <c r="L25" s="9" t="s">
        <v>1</v>
      </c>
      <c r="O25" s="1" t="s">
        <v>24</v>
      </c>
      <c r="P25" s="20" t="s">
        <v>29</v>
      </c>
      <c r="Q25" s="29"/>
      <c r="R25" s="20"/>
      <c r="S25" s="20"/>
      <c r="T25" s="20"/>
      <c r="U25" s="20"/>
      <c r="V25" s="20"/>
      <c r="W25" s="20"/>
      <c r="X25" s="20"/>
    </row>
    <row r="26" spans="1:24" ht="19.5" customHeight="1" thickBot="1">
      <c r="A26" s="90"/>
      <c r="B26" s="43"/>
      <c r="C26" s="91" t="s">
        <v>9</v>
      </c>
      <c r="D26" s="92"/>
      <c r="E26" s="92"/>
      <c r="F26" s="92"/>
      <c r="G26" s="92"/>
      <c r="H26" s="92"/>
      <c r="I26" s="92"/>
      <c r="J26" s="93"/>
      <c r="K26" s="12">
        <f>SUM(K22:K25)</f>
        <v>288970</v>
      </c>
      <c r="L26" s="3" t="s">
        <v>1</v>
      </c>
      <c r="P26" s="27" t="s">
        <v>28</v>
      </c>
      <c r="Q26" s="29"/>
      <c r="R26" s="20"/>
      <c r="S26" s="20"/>
      <c r="T26" s="20"/>
      <c r="U26" s="20"/>
      <c r="V26" s="20"/>
      <c r="W26" s="20"/>
      <c r="X26" s="20"/>
    </row>
    <row r="27" spans="1:24" ht="19.5" customHeight="1" thickBot="1">
      <c r="A27" s="13" t="s">
        <v>10</v>
      </c>
      <c r="B27" s="40"/>
      <c r="C27" s="26">
        <v>12400</v>
      </c>
      <c r="D27" s="10" t="s">
        <v>1</v>
      </c>
      <c r="E27" s="10" t="s">
        <v>4</v>
      </c>
      <c r="F27" s="52">
        <v>2</v>
      </c>
      <c r="G27" s="10" t="s">
        <v>11</v>
      </c>
      <c r="H27" s="10"/>
      <c r="I27" s="10"/>
      <c r="J27" s="11"/>
      <c r="K27" s="12">
        <f>C27*F27</f>
        <v>24800</v>
      </c>
      <c r="L27" s="3" t="s">
        <v>1</v>
      </c>
      <c r="O27" s="1"/>
      <c r="P27" s="20" t="s">
        <v>27</v>
      </c>
      <c r="Q27" s="20"/>
      <c r="R27" s="20"/>
      <c r="S27" s="20"/>
      <c r="T27" s="20"/>
      <c r="U27" s="20"/>
      <c r="V27" s="20"/>
      <c r="W27" s="20"/>
      <c r="X27" s="20"/>
    </row>
    <row r="28" spans="1:24" ht="19.5" customHeight="1" thickBot="1">
      <c r="A28" s="14" t="s">
        <v>12</v>
      </c>
      <c r="B28" s="39"/>
      <c r="C28" s="74" t="s">
        <v>13</v>
      </c>
      <c r="D28" s="75"/>
      <c r="E28" s="75"/>
      <c r="F28" s="75"/>
      <c r="G28" s="75"/>
      <c r="H28" s="75"/>
      <c r="I28" s="75"/>
      <c r="J28" s="76"/>
      <c r="K28" s="37">
        <v>7000</v>
      </c>
      <c r="L28" s="25" t="s">
        <v>1</v>
      </c>
      <c r="O28" s="1" t="s">
        <v>24</v>
      </c>
      <c r="P28" s="20" t="s">
        <v>33</v>
      </c>
      <c r="Q28" s="20"/>
      <c r="R28" s="20"/>
      <c r="S28" s="20"/>
      <c r="T28" s="20"/>
      <c r="U28" s="20"/>
      <c r="V28" s="20"/>
      <c r="W28" s="20"/>
      <c r="X28" s="20"/>
    </row>
    <row r="29" spans="1:24" ht="19.5" customHeight="1" thickBot="1">
      <c r="A29" s="77" t="s">
        <v>17</v>
      </c>
      <c r="B29" s="78"/>
      <c r="C29" s="78"/>
      <c r="D29" s="78"/>
      <c r="E29" s="78"/>
      <c r="F29" s="78"/>
      <c r="G29" s="78"/>
      <c r="H29" s="78"/>
      <c r="I29" s="78"/>
      <c r="J29" s="79"/>
      <c r="K29" s="35">
        <f>(K26+K27+K28)-170000</f>
        <v>150770</v>
      </c>
      <c r="L29" s="3" t="s">
        <v>1</v>
      </c>
      <c r="O29" s="1"/>
      <c r="P29" s="20" t="s">
        <v>35</v>
      </c>
      <c r="Q29" s="20"/>
      <c r="R29" s="20"/>
      <c r="S29" s="20"/>
      <c r="T29" s="20"/>
      <c r="U29" s="20"/>
      <c r="V29" s="20"/>
      <c r="W29" s="20"/>
      <c r="X29" s="20"/>
    </row>
    <row r="30" spans="1:24" ht="19.5" customHeight="1" thickBot="1">
      <c r="A30" s="82" t="s">
        <v>37</v>
      </c>
      <c r="B30" s="83"/>
      <c r="C30" s="83"/>
      <c r="D30" s="83"/>
      <c r="E30" s="83"/>
      <c r="F30" s="83"/>
      <c r="G30" s="83"/>
      <c r="H30" s="83"/>
      <c r="I30" s="83"/>
      <c r="J30" s="84"/>
      <c r="K30" s="21">
        <f>IF(OR(F27="",F27=0),"",IF(ROUNDDOWN(K26+K27+K28,-2)&gt;170000,170000,ROUNDDOWN(K26+K27+K28,-2)))</f>
        <v>170000</v>
      </c>
      <c r="L30" s="22" t="s">
        <v>1</v>
      </c>
      <c r="O30" s="1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9.5" customHeight="1" thickBot="1">
      <c r="A31" s="80" t="s">
        <v>14</v>
      </c>
      <c r="B31" s="81"/>
      <c r="C31" s="81"/>
      <c r="D31" s="81"/>
      <c r="E31" s="81"/>
      <c r="F31" s="81"/>
      <c r="G31" s="81"/>
      <c r="H31" s="81"/>
      <c r="I31" s="81"/>
      <c r="J31" s="81"/>
      <c r="K31" s="21">
        <f>IF(AND(OR(F13&lt;&gt;"",F13&lt;&gt;0),OR(F27="",F27=0)),K16+X16,IF(ISERROR(K16+X16+K30),"",K16+X16+K30))</f>
        <v>990000</v>
      </c>
      <c r="L31" s="22" t="s">
        <v>1</v>
      </c>
      <c r="N31" s="53" t="s">
        <v>34</v>
      </c>
      <c r="O31" s="49"/>
      <c r="P31" s="30" t="s">
        <v>40</v>
      </c>
      <c r="Q31" s="29"/>
      <c r="R31" s="29"/>
      <c r="S31" s="20"/>
      <c r="T31" s="20"/>
      <c r="U31" s="20"/>
      <c r="V31" s="20"/>
      <c r="W31" s="20"/>
      <c r="X31" s="20"/>
    </row>
    <row r="32" spans="1:18" ht="19.5" customHeight="1" thickBot="1">
      <c r="A32" s="80" t="s">
        <v>15</v>
      </c>
      <c r="B32" s="81"/>
      <c r="C32" s="81"/>
      <c r="D32" s="81"/>
      <c r="E32" s="81"/>
      <c r="F32" s="81"/>
      <c r="G32" s="81"/>
      <c r="H32" s="81"/>
      <c r="I32" s="81"/>
      <c r="J32" s="81"/>
      <c r="K32" s="12">
        <f>IF(ISERROR(ROUNDDOWN($K$31/12,0)),"",ROUNDDOWN($K$31/12,0))</f>
        <v>82500</v>
      </c>
      <c r="L32" s="3" t="s">
        <v>1</v>
      </c>
      <c r="P32" s="20"/>
      <c r="Q32" s="20"/>
      <c r="R32" s="20"/>
    </row>
    <row r="33" ht="24.75" customHeight="1"/>
  </sheetData>
  <sheetProtection/>
  <mergeCells count="29">
    <mergeCell ref="C1:J2"/>
    <mergeCell ref="A6:C6"/>
    <mergeCell ref="C7:D7"/>
    <mergeCell ref="F7:G7"/>
    <mergeCell ref="K7:L7"/>
    <mergeCell ref="O7:Q7"/>
    <mergeCell ref="S7:T7"/>
    <mergeCell ref="X7:Y7"/>
    <mergeCell ref="A8:A12"/>
    <mergeCell ref="N8:N12"/>
    <mergeCell ref="C12:J12"/>
    <mergeCell ref="P12:W12"/>
    <mergeCell ref="C26:J26"/>
    <mergeCell ref="C14:J14"/>
    <mergeCell ref="P14:W14"/>
    <mergeCell ref="A15:J15"/>
    <mergeCell ref="N15:W15"/>
    <mergeCell ref="A16:J16"/>
    <mergeCell ref="N16:W16"/>
    <mergeCell ref="C28:J28"/>
    <mergeCell ref="A29:J29"/>
    <mergeCell ref="A30:J30"/>
    <mergeCell ref="A31:J31"/>
    <mergeCell ref="A32:J32"/>
    <mergeCell ref="O19:X21"/>
    <mergeCell ref="B21:D21"/>
    <mergeCell ref="F21:G21"/>
    <mergeCell ref="K21:L21"/>
    <mergeCell ref="A22:A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6" r:id="rId2"/>
  <headerFooter alignWithMargins="0">
    <oddFooter>&amp;L&amp;Z&amp;F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Y33"/>
  <sheetViews>
    <sheetView tabSelected="1" view="pageBreakPreview" zoomScale="85" zoomScaleNormal="85" zoomScaleSheetLayoutView="85" workbookViewId="0" topLeftCell="A16">
      <selection activeCell="C13" sqref="C13"/>
    </sheetView>
  </sheetViews>
  <sheetFormatPr defaultColWidth="9.00390625" defaultRowHeight="13.5"/>
  <cols>
    <col min="2" max="2" width="3.375" style="0" customWidth="1"/>
    <col min="3" max="3" width="19.625" style="0" customWidth="1"/>
    <col min="4" max="5" width="3.375" style="1" customWidth="1"/>
    <col min="6" max="6" width="9.50390625" style="0" bestFit="1" customWidth="1"/>
    <col min="7" max="7" width="3.375" style="1" bestFit="1" customWidth="1"/>
    <col min="8" max="8" width="3.375" style="1" customWidth="1"/>
    <col min="9" max="9" width="3.375" style="1" bestFit="1" customWidth="1"/>
    <col min="10" max="10" width="9.25390625" style="0" bestFit="1" customWidth="1"/>
    <col min="11" max="11" width="15.625" style="0" customWidth="1"/>
    <col min="12" max="12" width="3.375" style="0" bestFit="1" customWidth="1"/>
    <col min="13" max="13" width="2.625" style="0" customWidth="1"/>
    <col min="15" max="15" width="3.375" style="0" customWidth="1"/>
    <col min="16" max="16" width="19.625" style="0" customWidth="1"/>
    <col min="17" max="17" width="3.50390625" style="0" bestFit="1" customWidth="1"/>
    <col min="18" max="18" width="3.375" style="0" bestFit="1" customWidth="1"/>
    <col min="20" max="20" width="3.375" style="0" bestFit="1" customWidth="1"/>
    <col min="21" max="21" width="3.375" style="0" customWidth="1"/>
    <col min="22" max="22" width="3.375" style="0" bestFit="1" customWidth="1"/>
    <col min="23" max="23" width="9.25390625" style="0" bestFit="1" customWidth="1"/>
    <col min="24" max="24" width="15.625" style="0" customWidth="1"/>
    <col min="25" max="25" width="3.375" style="1" bestFit="1" customWidth="1"/>
    <col min="26" max="26" width="7.625" style="0" customWidth="1"/>
  </cols>
  <sheetData>
    <row r="1" spans="3:10" ht="13.5">
      <c r="C1" s="101"/>
      <c r="D1" s="101"/>
      <c r="E1" s="101"/>
      <c r="F1" s="101"/>
      <c r="G1" s="101"/>
      <c r="H1" s="101"/>
      <c r="I1" s="101"/>
      <c r="J1" s="101"/>
    </row>
    <row r="2" spans="3:10" ht="13.5">
      <c r="C2" s="101"/>
      <c r="D2" s="101"/>
      <c r="E2" s="101"/>
      <c r="F2" s="101"/>
      <c r="G2" s="101"/>
      <c r="H2" s="101"/>
      <c r="I2" s="101"/>
      <c r="J2" s="101"/>
    </row>
    <row r="5" spans="17:22" ht="13.5">
      <c r="Q5" s="1"/>
      <c r="R5" s="1"/>
      <c r="T5" s="1"/>
      <c r="U5" s="1"/>
      <c r="V5" s="1"/>
    </row>
    <row r="6" spans="1:22" ht="23.25" customHeight="1" thickBot="1">
      <c r="A6" s="101"/>
      <c r="B6" s="101"/>
      <c r="C6" s="101"/>
      <c r="Q6" s="1"/>
      <c r="R6" s="1"/>
      <c r="T6" s="1"/>
      <c r="U6" s="1"/>
      <c r="V6" s="1"/>
    </row>
    <row r="7" spans="1:25" ht="14.25" thickBot="1">
      <c r="A7" s="46" t="s">
        <v>7</v>
      </c>
      <c r="B7" s="41"/>
      <c r="C7" s="102" t="s">
        <v>0</v>
      </c>
      <c r="D7" s="86"/>
      <c r="E7" s="6"/>
      <c r="F7" s="94" t="s">
        <v>3</v>
      </c>
      <c r="G7" s="85"/>
      <c r="H7" s="6"/>
      <c r="I7" s="6"/>
      <c r="J7" s="7" t="s">
        <v>5</v>
      </c>
      <c r="K7" s="86" t="s">
        <v>6</v>
      </c>
      <c r="L7" s="87"/>
      <c r="N7" s="5" t="s">
        <v>7</v>
      </c>
      <c r="O7" s="86" t="s">
        <v>0</v>
      </c>
      <c r="P7" s="85"/>
      <c r="Q7" s="85"/>
      <c r="R7" s="6"/>
      <c r="S7" s="85" t="s">
        <v>3</v>
      </c>
      <c r="T7" s="85"/>
      <c r="U7" s="6"/>
      <c r="V7" s="6"/>
      <c r="W7" s="7" t="s">
        <v>5</v>
      </c>
      <c r="X7" s="86" t="s">
        <v>6</v>
      </c>
      <c r="Y7" s="87"/>
    </row>
    <row r="8" spans="1:25" ht="19.5" customHeight="1" thickBot="1">
      <c r="A8" s="88" t="s">
        <v>8</v>
      </c>
      <c r="B8" s="47" t="s">
        <v>19</v>
      </c>
      <c r="C8" s="50"/>
      <c r="D8" s="2" t="s">
        <v>1</v>
      </c>
      <c r="E8" s="2" t="s">
        <v>2</v>
      </c>
      <c r="F8" s="55">
        <v>430000</v>
      </c>
      <c r="G8" s="2" t="s">
        <v>1</v>
      </c>
      <c r="H8" s="2" t="s">
        <v>21</v>
      </c>
      <c r="I8" s="2" t="s">
        <v>4</v>
      </c>
      <c r="J8" s="15">
        <v>0.0573</v>
      </c>
      <c r="K8" s="31">
        <f>IF(C8&lt;=F8,0,ROUNDDOWN((C8-F8)*J8,0))</f>
        <v>0</v>
      </c>
      <c r="L8" s="8" t="s">
        <v>1</v>
      </c>
      <c r="N8" s="96" t="s">
        <v>8</v>
      </c>
      <c r="O8" s="48" t="s">
        <v>19</v>
      </c>
      <c r="P8" s="4">
        <f>C8</f>
        <v>0</v>
      </c>
      <c r="Q8" s="2" t="s">
        <v>1</v>
      </c>
      <c r="R8" s="2" t="s">
        <v>2</v>
      </c>
      <c r="S8" s="4">
        <f>F8</f>
        <v>430000</v>
      </c>
      <c r="T8" s="2" t="s">
        <v>1</v>
      </c>
      <c r="U8" s="2" t="s">
        <v>21</v>
      </c>
      <c r="V8" s="2" t="s">
        <v>4</v>
      </c>
      <c r="W8" s="15">
        <v>0.0193</v>
      </c>
      <c r="X8" s="31">
        <f>IF(P8&lt;=S8,0,ROUNDDOWN((P8-S8)*W8,0))</f>
        <v>0</v>
      </c>
      <c r="Y8" s="16" t="s">
        <v>1</v>
      </c>
    </row>
    <row r="9" spans="1:25" ht="19.5" customHeight="1" thickBot="1">
      <c r="A9" s="89"/>
      <c r="B9" s="48" t="s">
        <v>19</v>
      </c>
      <c r="C9" s="50"/>
      <c r="D9" s="2" t="s">
        <v>1</v>
      </c>
      <c r="E9" s="2" t="s">
        <v>2</v>
      </c>
      <c r="F9" s="55">
        <v>430000</v>
      </c>
      <c r="G9" s="2" t="s">
        <v>1</v>
      </c>
      <c r="H9" s="2" t="s">
        <v>21</v>
      </c>
      <c r="I9" s="2" t="s">
        <v>4</v>
      </c>
      <c r="J9" s="15">
        <v>0.0573</v>
      </c>
      <c r="K9" s="31">
        <f>IF(C9&lt;=F8,0,ROUNDDOWN((C9-F9)*J9,0))</f>
        <v>0</v>
      </c>
      <c r="L9" s="8" t="s">
        <v>1</v>
      </c>
      <c r="N9" s="97"/>
      <c r="O9" s="48" t="s">
        <v>19</v>
      </c>
      <c r="P9" s="4">
        <f>C9</f>
        <v>0</v>
      </c>
      <c r="Q9" s="2" t="s">
        <v>1</v>
      </c>
      <c r="R9" s="2" t="s">
        <v>2</v>
      </c>
      <c r="S9" s="4">
        <f>F9</f>
        <v>430000</v>
      </c>
      <c r="T9" s="2" t="s">
        <v>1</v>
      </c>
      <c r="U9" s="2" t="s">
        <v>21</v>
      </c>
      <c r="V9" s="2" t="s">
        <v>4</v>
      </c>
      <c r="W9" s="15">
        <v>0.0193</v>
      </c>
      <c r="X9" s="31">
        <f>IF(P9&lt;=S9,0,ROUNDDOWN((P9-S9)*W9,0))</f>
        <v>0</v>
      </c>
      <c r="Y9" s="16" t="s">
        <v>1</v>
      </c>
    </row>
    <row r="10" spans="1:25" ht="19.5" customHeight="1" thickBot="1">
      <c r="A10" s="89"/>
      <c r="B10" s="48" t="s">
        <v>19</v>
      </c>
      <c r="C10" s="51"/>
      <c r="D10" s="2" t="s">
        <v>1</v>
      </c>
      <c r="E10" s="2" t="s">
        <v>2</v>
      </c>
      <c r="F10" s="55">
        <v>430000</v>
      </c>
      <c r="G10" s="2" t="s">
        <v>1</v>
      </c>
      <c r="H10" s="2" t="s">
        <v>21</v>
      </c>
      <c r="I10" s="2" t="s">
        <v>4</v>
      </c>
      <c r="J10" s="15">
        <v>0.0573</v>
      </c>
      <c r="K10" s="31">
        <f>IF(C10&lt;=F10,0,ROUNDDOWN((C10-F10)*J10,0))</f>
        <v>0</v>
      </c>
      <c r="L10" s="8" t="s">
        <v>1</v>
      </c>
      <c r="N10" s="97"/>
      <c r="O10" s="48" t="s">
        <v>19</v>
      </c>
      <c r="P10" s="4">
        <f>C10</f>
        <v>0</v>
      </c>
      <c r="Q10" s="2" t="s">
        <v>1</v>
      </c>
      <c r="R10" s="2" t="s">
        <v>2</v>
      </c>
      <c r="S10" s="4">
        <f>F10</f>
        <v>430000</v>
      </c>
      <c r="T10" s="2" t="s">
        <v>1</v>
      </c>
      <c r="U10" s="2" t="s">
        <v>21</v>
      </c>
      <c r="V10" s="2" t="s">
        <v>4</v>
      </c>
      <c r="W10" s="15">
        <v>0.0193</v>
      </c>
      <c r="X10" s="31">
        <f>IF(P10&lt;=S10,0,ROUNDDOWN((P10-S10)*W10,0))</f>
        <v>0</v>
      </c>
      <c r="Y10" s="16" t="s">
        <v>1</v>
      </c>
    </row>
    <row r="11" spans="1:25" ht="19.5" customHeight="1" thickBot="1">
      <c r="A11" s="89"/>
      <c r="B11" s="48" t="s">
        <v>19</v>
      </c>
      <c r="C11" s="51"/>
      <c r="D11" s="2" t="s">
        <v>1</v>
      </c>
      <c r="E11" s="2" t="s">
        <v>2</v>
      </c>
      <c r="F11" s="55">
        <v>430000</v>
      </c>
      <c r="G11" s="2" t="s">
        <v>1</v>
      </c>
      <c r="H11" s="2" t="s">
        <v>21</v>
      </c>
      <c r="I11" s="2" t="s">
        <v>4</v>
      </c>
      <c r="J11" s="15">
        <v>0.0573</v>
      </c>
      <c r="K11" s="31">
        <f>IF(C11&lt;=F10,0,ROUNDDOWN((C11-F11)*J11,0))</f>
        <v>0</v>
      </c>
      <c r="L11" s="9" t="s">
        <v>1</v>
      </c>
      <c r="N11" s="97"/>
      <c r="O11" s="48" t="s">
        <v>19</v>
      </c>
      <c r="P11" s="4">
        <f>C11</f>
        <v>0</v>
      </c>
      <c r="Q11" s="2" t="s">
        <v>1</v>
      </c>
      <c r="R11" s="2" t="s">
        <v>2</v>
      </c>
      <c r="S11" s="4">
        <f>F11</f>
        <v>430000</v>
      </c>
      <c r="T11" s="2" t="s">
        <v>1</v>
      </c>
      <c r="U11" s="2" t="s">
        <v>21</v>
      </c>
      <c r="V11" s="2" t="s">
        <v>4</v>
      </c>
      <c r="W11" s="15">
        <v>0.0193</v>
      </c>
      <c r="X11" s="31">
        <f>IF(P11&lt;=S11,0,ROUNDDOWN((P11-S11)*W11,0))</f>
        <v>0</v>
      </c>
      <c r="Y11" s="17" t="s">
        <v>1</v>
      </c>
    </row>
    <row r="12" spans="1:25" ht="19.5" customHeight="1" thickBot="1">
      <c r="A12" s="90"/>
      <c r="B12" s="43"/>
      <c r="C12" s="91" t="s">
        <v>9</v>
      </c>
      <c r="D12" s="92"/>
      <c r="E12" s="92"/>
      <c r="F12" s="103"/>
      <c r="G12" s="92"/>
      <c r="H12" s="92"/>
      <c r="I12" s="92"/>
      <c r="J12" s="93"/>
      <c r="K12" s="12">
        <f>SUM(K8:K11)</f>
        <v>0</v>
      </c>
      <c r="L12" s="3" t="s">
        <v>1</v>
      </c>
      <c r="N12" s="98"/>
      <c r="O12" s="42"/>
      <c r="P12" s="99" t="s">
        <v>9</v>
      </c>
      <c r="Q12" s="99"/>
      <c r="R12" s="99"/>
      <c r="S12" s="99"/>
      <c r="T12" s="99"/>
      <c r="U12" s="99"/>
      <c r="V12" s="99"/>
      <c r="W12" s="100"/>
      <c r="X12" s="33">
        <f>SUM(X8:X11)</f>
        <v>0</v>
      </c>
      <c r="Y12" s="24" t="s">
        <v>1</v>
      </c>
    </row>
    <row r="13" spans="1:25" ht="19.5" customHeight="1">
      <c r="A13" s="104" t="s">
        <v>10</v>
      </c>
      <c r="B13" s="58"/>
      <c r="C13" s="71" t="s">
        <v>43</v>
      </c>
      <c r="D13" s="6"/>
      <c r="E13" s="6"/>
      <c r="F13" s="63"/>
      <c r="G13" s="6" t="s">
        <v>11</v>
      </c>
      <c r="H13" s="6"/>
      <c r="I13" s="6" t="s">
        <v>4</v>
      </c>
      <c r="J13" s="69">
        <v>29300</v>
      </c>
      <c r="K13" s="59">
        <f>IF(F14=0,J13*F13,J13*F13-(J13*F14*0.5))</f>
        <v>0</v>
      </c>
      <c r="L13" s="61" t="s">
        <v>1</v>
      </c>
      <c r="N13" s="105" t="s">
        <v>10</v>
      </c>
      <c r="O13" s="58"/>
      <c r="P13" s="71" t="str">
        <f>C13</f>
        <v>被保険者数（全体）</v>
      </c>
      <c r="Q13" s="6"/>
      <c r="R13" s="6"/>
      <c r="S13" s="65">
        <f>F13</f>
        <v>0</v>
      </c>
      <c r="T13" s="6" t="s">
        <v>11</v>
      </c>
      <c r="U13" s="6"/>
      <c r="V13" s="6" t="s">
        <v>4</v>
      </c>
      <c r="W13" s="69">
        <v>9900</v>
      </c>
      <c r="X13" s="59">
        <f>IF(S14=0,W13*S13,W13*S13-(W13*S14*0.5))</f>
        <v>0</v>
      </c>
      <c r="Y13" s="54" t="s">
        <v>1</v>
      </c>
    </row>
    <row r="14" spans="1:25" ht="19.5" customHeight="1" thickBot="1">
      <c r="A14" s="98"/>
      <c r="B14" s="43"/>
      <c r="C14" s="72" t="s">
        <v>44</v>
      </c>
      <c r="D14" s="56"/>
      <c r="E14" s="56"/>
      <c r="F14" s="64">
        <v>0</v>
      </c>
      <c r="G14" s="56" t="s">
        <v>11</v>
      </c>
      <c r="H14" s="56"/>
      <c r="I14" s="56"/>
      <c r="J14" s="73"/>
      <c r="K14" s="67"/>
      <c r="L14" s="60"/>
      <c r="N14" s="90"/>
      <c r="O14" s="43"/>
      <c r="P14" s="72" t="str">
        <f>C14</f>
        <v>被保険者数のうち、未就学児数</v>
      </c>
      <c r="Q14" s="56"/>
      <c r="R14" s="56"/>
      <c r="S14" s="66">
        <f>F14</f>
        <v>0</v>
      </c>
      <c r="T14" s="56" t="s">
        <v>11</v>
      </c>
      <c r="U14" s="56"/>
      <c r="V14" s="56"/>
      <c r="W14" s="57"/>
      <c r="X14" s="67"/>
      <c r="Y14" s="62"/>
    </row>
    <row r="15" spans="1:25" ht="19.5" customHeight="1" thickBot="1">
      <c r="A15" s="14" t="s">
        <v>12</v>
      </c>
      <c r="B15" s="45"/>
      <c r="C15" s="75" t="s">
        <v>13</v>
      </c>
      <c r="D15" s="75"/>
      <c r="E15" s="75"/>
      <c r="F15" s="75"/>
      <c r="G15" s="75"/>
      <c r="H15" s="75"/>
      <c r="I15" s="75"/>
      <c r="J15" s="76"/>
      <c r="K15" s="36">
        <v>23800</v>
      </c>
      <c r="L15" s="3" t="s">
        <v>1</v>
      </c>
      <c r="N15" s="14" t="s">
        <v>12</v>
      </c>
      <c r="O15" s="45"/>
      <c r="P15" s="75" t="s">
        <v>13</v>
      </c>
      <c r="Q15" s="75"/>
      <c r="R15" s="75"/>
      <c r="S15" s="75"/>
      <c r="T15" s="75"/>
      <c r="U15" s="75"/>
      <c r="V15" s="75"/>
      <c r="W15" s="76"/>
      <c r="X15" s="32">
        <v>7800</v>
      </c>
      <c r="Y15" s="18" t="s">
        <v>1</v>
      </c>
    </row>
    <row r="16" spans="1:25" ht="19.5" customHeight="1" thickBot="1">
      <c r="A16" s="77" t="s">
        <v>17</v>
      </c>
      <c r="B16" s="78"/>
      <c r="C16" s="78"/>
      <c r="D16" s="78"/>
      <c r="E16" s="78"/>
      <c r="F16" s="78"/>
      <c r="G16" s="78"/>
      <c r="H16" s="78"/>
      <c r="I16" s="78"/>
      <c r="J16" s="79"/>
      <c r="K16" s="35">
        <f>(K12+K13+K15)-650000</f>
        <v>-626200</v>
      </c>
      <c r="L16" s="3" t="s">
        <v>1</v>
      </c>
      <c r="N16" s="77" t="s">
        <v>17</v>
      </c>
      <c r="O16" s="78"/>
      <c r="P16" s="78"/>
      <c r="Q16" s="78"/>
      <c r="R16" s="78"/>
      <c r="S16" s="78"/>
      <c r="T16" s="78"/>
      <c r="U16" s="78"/>
      <c r="V16" s="78"/>
      <c r="W16" s="79"/>
      <c r="X16" s="35">
        <f>(X12+X13+X15)-220000</f>
        <v>-212200</v>
      </c>
      <c r="Y16" s="18" t="s">
        <v>1</v>
      </c>
    </row>
    <row r="17" spans="1:25" ht="19.5" customHeight="1" thickBot="1">
      <c r="A17" s="82" t="s">
        <v>42</v>
      </c>
      <c r="B17" s="83"/>
      <c r="C17" s="83"/>
      <c r="D17" s="83"/>
      <c r="E17" s="83"/>
      <c r="F17" s="83"/>
      <c r="G17" s="83"/>
      <c r="H17" s="83"/>
      <c r="I17" s="83"/>
      <c r="J17" s="84"/>
      <c r="K17" s="21">
        <f>IF(OR(F13="",F13=0),"",IF(ROUNDDOWN(K12+K13+K15,-2)&gt;650000,650000,ROUNDDOWN(K12+K13+K15,-2)))</f>
      </c>
      <c r="L17" s="22" t="s">
        <v>1</v>
      </c>
      <c r="N17" s="82" t="s">
        <v>46</v>
      </c>
      <c r="O17" s="83"/>
      <c r="P17" s="83"/>
      <c r="Q17" s="83"/>
      <c r="R17" s="83"/>
      <c r="S17" s="83"/>
      <c r="T17" s="83"/>
      <c r="U17" s="83"/>
      <c r="V17" s="83"/>
      <c r="W17" s="84"/>
      <c r="X17" s="21">
        <f>IF(OR(S13="",S13=0),"",IF(ROUNDDOWN(X12+X13+X15,-2)&gt;220000,220000,ROUNDDOWN(X12+X13+X15,-2)))</f>
      </c>
      <c r="Y17" s="23" t="s">
        <v>1</v>
      </c>
    </row>
    <row r="19" ht="14.25" thickBot="1">
      <c r="W19" s="68"/>
    </row>
    <row r="20" spans="1:24" s="1" customFormat="1" ht="13.5">
      <c r="A20"/>
      <c r="B20"/>
      <c r="C20"/>
      <c r="F20"/>
      <c r="J20"/>
      <c r="K20"/>
      <c r="L20"/>
      <c r="M20"/>
      <c r="N20"/>
      <c r="O20" s="95" t="s">
        <v>31</v>
      </c>
      <c r="P20" s="95"/>
      <c r="Q20" s="95"/>
      <c r="R20" s="95"/>
      <c r="S20" s="95"/>
      <c r="T20" s="95"/>
      <c r="U20" s="95"/>
      <c r="V20" s="95"/>
      <c r="W20" s="95"/>
      <c r="X20" s="95"/>
    </row>
    <row r="21" spans="1:24" s="1" customFormat="1" ht="14.25" thickBot="1">
      <c r="A21"/>
      <c r="B21"/>
      <c r="C21"/>
      <c r="F21"/>
      <c r="J21"/>
      <c r="K21"/>
      <c r="L21"/>
      <c r="M21"/>
      <c r="N21"/>
      <c r="O21" s="95"/>
      <c r="P21" s="95"/>
      <c r="Q21" s="95"/>
      <c r="R21" s="95"/>
      <c r="S21" s="95"/>
      <c r="T21" s="95"/>
      <c r="U21" s="95"/>
      <c r="V21" s="95"/>
      <c r="W21" s="95"/>
      <c r="X21" s="95"/>
    </row>
    <row r="22" spans="1:24" s="1" customFormat="1" ht="14.25" thickBot="1">
      <c r="A22" s="5" t="s">
        <v>7</v>
      </c>
      <c r="B22" s="86" t="s">
        <v>0</v>
      </c>
      <c r="C22" s="94"/>
      <c r="D22" s="85"/>
      <c r="E22" s="6"/>
      <c r="F22" s="85" t="s">
        <v>3</v>
      </c>
      <c r="G22" s="85"/>
      <c r="H22" s="6"/>
      <c r="I22" s="6"/>
      <c r="J22" s="7" t="s">
        <v>5</v>
      </c>
      <c r="K22" s="86" t="s">
        <v>6</v>
      </c>
      <c r="L22" s="87"/>
      <c r="M22"/>
      <c r="N22" s="19"/>
      <c r="O22" s="95"/>
      <c r="P22" s="95"/>
      <c r="Q22" s="95"/>
      <c r="R22" s="95"/>
      <c r="S22" s="95"/>
      <c r="T22" s="95"/>
      <c r="U22" s="95"/>
      <c r="V22" s="95"/>
      <c r="W22" s="95"/>
      <c r="X22" s="95"/>
    </row>
    <row r="23" spans="1:24" s="1" customFormat="1" ht="19.5" customHeight="1" thickBot="1">
      <c r="A23" s="88" t="s">
        <v>8</v>
      </c>
      <c r="B23" s="47" t="s">
        <v>19</v>
      </c>
      <c r="C23" s="50"/>
      <c r="D23" s="2" t="s">
        <v>1</v>
      </c>
      <c r="E23" s="2" t="s">
        <v>2</v>
      </c>
      <c r="F23" s="4">
        <f>F8</f>
        <v>430000</v>
      </c>
      <c r="G23" s="2" t="s">
        <v>1</v>
      </c>
      <c r="H23" s="2" t="s">
        <v>21</v>
      </c>
      <c r="I23" s="2" t="s">
        <v>4</v>
      </c>
      <c r="J23" s="15">
        <v>0.0185</v>
      </c>
      <c r="K23" s="31">
        <f>IF(C23&lt;=F23,0,ROUNDDOWN((C23-F23)*J23,0))</f>
        <v>0</v>
      </c>
      <c r="L23" s="8" t="s">
        <v>1</v>
      </c>
      <c r="M23"/>
      <c r="N23"/>
      <c r="O23" s="1" t="s">
        <v>24</v>
      </c>
      <c r="P23" s="20" t="s">
        <v>32</v>
      </c>
      <c r="Q23" s="38"/>
      <c r="R23" s="38"/>
      <c r="S23" s="38"/>
      <c r="T23" s="28"/>
      <c r="U23" s="28"/>
      <c r="V23" s="28"/>
      <c r="W23" s="28"/>
      <c r="X23" s="28"/>
    </row>
    <row r="24" spans="1:24" s="1" customFormat="1" ht="19.5" customHeight="1" thickBot="1">
      <c r="A24" s="89"/>
      <c r="B24" s="48" t="s">
        <v>19</v>
      </c>
      <c r="C24" s="50"/>
      <c r="D24" s="2" t="s">
        <v>1</v>
      </c>
      <c r="E24" s="2" t="s">
        <v>2</v>
      </c>
      <c r="F24" s="4">
        <f>F9</f>
        <v>430000</v>
      </c>
      <c r="G24" s="2" t="s">
        <v>1</v>
      </c>
      <c r="H24" s="2" t="s">
        <v>21</v>
      </c>
      <c r="I24" s="2" t="s">
        <v>4</v>
      </c>
      <c r="J24" s="15">
        <v>0.0185</v>
      </c>
      <c r="K24" s="31">
        <f>IF(C24&lt;=F24,0,ROUNDDOWN((C24-F24)*J24,0))</f>
        <v>0</v>
      </c>
      <c r="L24" s="8" t="s">
        <v>1</v>
      </c>
      <c r="M24"/>
      <c r="N24" s="19"/>
      <c r="O24" s="1" t="s">
        <v>24</v>
      </c>
      <c r="P24" s="20" t="s">
        <v>47</v>
      </c>
      <c r="Q24" s="29"/>
      <c r="R24" s="20"/>
      <c r="S24" s="38"/>
      <c r="T24" s="20"/>
      <c r="U24" s="20"/>
      <c r="V24" s="20"/>
      <c r="W24" s="20"/>
      <c r="X24" s="20"/>
    </row>
    <row r="25" spans="1:24" s="1" customFormat="1" ht="19.5" customHeight="1" thickBot="1">
      <c r="A25" s="89"/>
      <c r="B25" s="48" t="s">
        <v>19</v>
      </c>
      <c r="C25" s="50"/>
      <c r="D25" s="2" t="s">
        <v>1</v>
      </c>
      <c r="E25" s="2" t="s">
        <v>2</v>
      </c>
      <c r="F25" s="4">
        <f>F10</f>
        <v>430000</v>
      </c>
      <c r="G25" s="2" t="s">
        <v>1</v>
      </c>
      <c r="H25" s="2" t="s">
        <v>21</v>
      </c>
      <c r="I25" s="2" t="s">
        <v>4</v>
      </c>
      <c r="J25" s="15">
        <v>0.0185</v>
      </c>
      <c r="K25" s="31">
        <f>IF(C25&lt;=F25,0,ROUNDDOWN((C25-F25)*J25,0))</f>
        <v>0</v>
      </c>
      <c r="L25" s="8" t="s">
        <v>1</v>
      </c>
      <c r="M25"/>
      <c r="N25"/>
      <c r="O25" s="1" t="s">
        <v>24</v>
      </c>
      <c r="P25" s="20" t="s">
        <v>26</v>
      </c>
      <c r="Q25" s="38"/>
      <c r="R25" s="38"/>
      <c r="S25" s="38"/>
      <c r="T25" s="20"/>
      <c r="U25" s="20"/>
      <c r="V25" s="20"/>
      <c r="W25" s="20"/>
      <c r="X25" s="20"/>
    </row>
    <row r="26" spans="1:24" s="1" customFormat="1" ht="19.5" customHeight="1" thickBot="1">
      <c r="A26" s="89"/>
      <c r="B26" s="48" t="s">
        <v>19</v>
      </c>
      <c r="C26" s="50"/>
      <c r="D26" s="2" t="s">
        <v>1</v>
      </c>
      <c r="E26" s="2" t="s">
        <v>2</v>
      </c>
      <c r="F26" s="4">
        <f>F11</f>
        <v>430000</v>
      </c>
      <c r="G26" s="2" t="s">
        <v>1</v>
      </c>
      <c r="H26" s="2" t="s">
        <v>21</v>
      </c>
      <c r="I26" s="2" t="s">
        <v>4</v>
      </c>
      <c r="J26" s="15">
        <v>0.0185</v>
      </c>
      <c r="K26" s="31">
        <f>IF(C26&lt;=F26,0,ROUNDDOWN((C26-F26)*J26,0))</f>
        <v>0</v>
      </c>
      <c r="L26" s="9" t="s">
        <v>1</v>
      </c>
      <c r="M26"/>
      <c r="N26"/>
      <c r="P26" s="20" t="s">
        <v>45</v>
      </c>
      <c r="Q26" s="29"/>
      <c r="R26" s="20"/>
      <c r="S26" s="20"/>
      <c r="T26" s="20"/>
      <c r="U26" s="20"/>
      <c r="V26" s="20"/>
      <c r="W26" s="20"/>
      <c r="X26" s="20"/>
    </row>
    <row r="27" spans="1:24" s="1" customFormat="1" ht="19.5" customHeight="1" thickBot="1">
      <c r="A27" s="90"/>
      <c r="B27" s="43"/>
      <c r="C27" s="91" t="s">
        <v>9</v>
      </c>
      <c r="D27" s="92"/>
      <c r="E27" s="92"/>
      <c r="F27" s="92"/>
      <c r="G27" s="92"/>
      <c r="H27" s="92"/>
      <c r="I27" s="92"/>
      <c r="J27" s="93"/>
      <c r="K27" s="12">
        <f>SUM(K23:K26)</f>
        <v>0</v>
      </c>
      <c r="L27" s="3" t="s">
        <v>1</v>
      </c>
      <c r="M27"/>
      <c r="N27"/>
      <c r="O27" s="1" t="s">
        <v>24</v>
      </c>
      <c r="P27" s="20" t="s">
        <v>29</v>
      </c>
      <c r="Q27" s="29"/>
      <c r="R27" s="20"/>
      <c r="S27" s="20"/>
      <c r="T27" s="20"/>
      <c r="U27" s="20"/>
      <c r="V27" s="20"/>
      <c r="W27" s="20"/>
      <c r="X27" s="20"/>
    </row>
    <row r="28" spans="1:24" s="1" customFormat="1" ht="19.5" customHeight="1" thickBot="1">
      <c r="A28" s="13" t="s">
        <v>10</v>
      </c>
      <c r="B28" s="40"/>
      <c r="C28" s="26"/>
      <c r="D28" s="10"/>
      <c r="E28" s="10"/>
      <c r="F28" s="52"/>
      <c r="G28" s="10" t="s">
        <v>11</v>
      </c>
      <c r="H28" s="10"/>
      <c r="I28" s="10" t="s">
        <v>4</v>
      </c>
      <c r="J28" s="70">
        <v>12400</v>
      </c>
      <c r="K28" s="12">
        <f>J28*F28</f>
        <v>0</v>
      </c>
      <c r="L28" s="3" t="s">
        <v>1</v>
      </c>
      <c r="M28"/>
      <c r="N28"/>
      <c r="O28"/>
      <c r="P28" s="27" t="s">
        <v>28</v>
      </c>
      <c r="Q28" s="29"/>
      <c r="R28" s="20"/>
      <c r="S28" s="20"/>
      <c r="T28" s="20"/>
      <c r="U28" s="20"/>
      <c r="V28" s="20"/>
      <c r="W28" s="20"/>
      <c r="X28" s="20"/>
    </row>
    <row r="29" spans="1:24" s="1" customFormat="1" ht="19.5" customHeight="1" thickBot="1">
      <c r="A29" s="14" t="s">
        <v>12</v>
      </c>
      <c r="B29" s="39"/>
      <c r="C29" s="74" t="s">
        <v>13</v>
      </c>
      <c r="D29" s="75"/>
      <c r="E29" s="75"/>
      <c r="F29" s="75"/>
      <c r="G29" s="75"/>
      <c r="H29" s="75"/>
      <c r="I29" s="75"/>
      <c r="J29" s="76"/>
      <c r="K29" s="37">
        <v>7000</v>
      </c>
      <c r="L29" s="25" t="s">
        <v>1</v>
      </c>
      <c r="M29"/>
      <c r="N29"/>
      <c r="P29" s="20" t="s">
        <v>27</v>
      </c>
      <c r="Q29" s="20"/>
      <c r="R29" s="20"/>
      <c r="S29" s="20"/>
      <c r="T29" s="20"/>
      <c r="U29" s="20"/>
      <c r="V29" s="20"/>
      <c r="W29" s="20"/>
      <c r="X29" s="20"/>
    </row>
    <row r="30" spans="1:24" s="1" customFormat="1" ht="19.5" customHeight="1" thickBot="1">
      <c r="A30" s="77" t="s">
        <v>17</v>
      </c>
      <c r="B30" s="78"/>
      <c r="C30" s="78"/>
      <c r="D30" s="78"/>
      <c r="E30" s="78"/>
      <c r="F30" s="78"/>
      <c r="G30" s="78"/>
      <c r="H30" s="78"/>
      <c r="I30" s="78"/>
      <c r="J30" s="79"/>
      <c r="K30" s="35">
        <f>(K27+K28+K29)-170000</f>
        <v>-163000</v>
      </c>
      <c r="L30" s="3" t="s">
        <v>1</v>
      </c>
      <c r="M30"/>
      <c r="N30"/>
      <c r="O30" s="1" t="s">
        <v>24</v>
      </c>
      <c r="P30" s="20" t="s">
        <v>33</v>
      </c>
      <c r="Q30" s="20"/>
      <c r="R30" s="20"/>
      <c r="S30" s="20"/>
      <c r="T30" s="20"/>
      <c r="U30" s="20"/>
      <c r="V30" s="20"/>
      <c r="W30" s="20"/>
      <c r="X30" s="20"/>
    </row>
    <row r="31" spans="1:24" s="1" customFormat="1" ht="19.5" customHeight="1" thickBot="1">
      <c r="A31" s="82" t="s">
        <v>37</v>
      </c>
      <c r="B31" s="83"/>
      <c r="C31" s="83"/>
      <c r="D31" s="83"/>
      <c r="E31" s="83"/>
      <c r="F31" s="83"/>
      <c r="G31" s="83"/>
      <c r="H31" s="83"/>
      <c r="I31" s="83"/>
      <c r="J31" s="84"/>
      <c r="K31" s="21">
        <f>IF(OR(F28="",F28=0),"",IF(ROUNDDOWN(K27+K28+K29,-2)&gt;170000,170000,ROUNDDOWN(K27+K28+K29,-2)))</f>
      </c>
      <c r="L31" s="22" t="s">
        <v>1</v>
      </c>
      <c r="M31"/>
      <c r="N31"/>
      <c r="P31" s="20" t="s">
        <v>35</v>
      </c>
      <c r="Q31" s="20"/>
      <c r="R31" s="20"/>
      <c r="S31" s="20"/>
      <c r="T31" s="20"/>
      <c r="U31" s="20"/>
      <c r="V31" s="20"/>
      <c r="W31" s="20"/>
      <c r="X31" s="20"/>
    </row>
    <row r="32" spans="1:24" s="1" customFormat="1" ht="19.5" customHeight="1" thickBot="1">
      <c r="A32" s="80" t="s">
        <v>14</v>
      </c>
      <c r="B32" s="81"/>
      <c r="C32" s="81"/>
      <c r="D32" s="81"/>
      <c r="E32" s="81"/>
      <c r="F32" s="81"/>
      <c r="G32" s="81"/>
      <c r="H32" s="81"/>
      <c r="I32" s="81"/>
      <c r="J32" s="81"/>
      <c r="K32" s="21">
        <f>IF(AND(OR(F13&lt;&gt;"",F13&lt;&gt;0),OR(F28="",F28=0)),K17+X17,IF(ISERROR(K17+X17+K31),"",K17+X17+K31))</f>
      </c>
      <c r="L32" s="22" t="s">
        <v>1</v>
      </c>
      <c r="M32"/>
      <c r="N32" s="53" t="s">
        <v>34</v>
      </c>
      <c r="O32" s="49"/>
      <c r="P32" s="30" t="s">
        <v>48</v>
      </c>
      <c r="Q32" s="29"/>
      <c r="R32" s="29"/>
      <c r="S32" s="20"/>
      <c r="T32" s="20"/>
      <c r="U32" s="20"/>
      <c r="V32" s="20"/>
      <c r="W32" s="20"/>
      <c r="X32" s="20"/>
    </row>
    <row r="33" spans="1:24" s="1" customFormat="1" ht="19.5" customHeight="1" thickBot="1">
      <c r="A33" s="80" t="s">
        <v>15</v>
      </c>
      <c r="B33" s="81"/>
      <c r="C33" s="81"/>
      <c r="D33" s="81"/>
      <c r="E33" s="81"/>
      <c r="F33" s="81"/>
      <c r="G33" s="81"/>
      <c r="H33" s="81"/>
      <c r="I33" s="81"/>
      <c r="J33" s="81"/>
      <c r="K33" s="12">
        <f>IF(ISERROR(ROUNDDOWN($K$32/12,0)),"",ROUNDDOWN($K$32/12,0))</f>
      </c>
      <c r="L33" s="3" t="s">
        <v>1</v>
      </c>
      <c r="M33"/>
      <c r="N33"/>
      <c r="O33"/>
      <c r="P33" s="20"/>
      <c r="Q33" s="20"/>
      <c r="R33" s="20"/>
      <c r="S33"/>
      <c r="T33"/>
      <c r="U33"/>
      <c r="V33"/>
      <c r="W33"/>
      <c r="X33"/>
    </row>
    <row r="34" ht="24.75" customHeight="1"/>
  </sheetData>
  <sheetProtection/>
  <mergeCells count="31">
    <mergeCell ref="A33:J33"/>
    <mergeCell ref="A23:A27"/>
    <mergeCell ref="C27:J27"/>
    <mergeCell ref="C29:J29"/>
    <mergeCell ref="A30:J30"/>
    <mergeCell ref="A31:J31"/>
    <mergeCell ref="A32:J32"/>
    <mergeCell ref="A17:J17"/>
    <mergeCell ref="N17:W17"/>
    <mergeCell ref="O20:X22"/>
    <mergeCell ref="B22:D22"/>
    <mergeCell ref="F22:G22"/>
    <mergeCell ref="K22:L22"/>
    <mergeCell ref="A13:A14"/>
    <mergeCell ref="N13:N14"/>
    <mergeCell ref="C15:J15"/>
    <mergeCell ref="P15:W15"/>
    <mergeCell ref="A16:J16"/>
    <mergeCell ref="N16:W16"/>
    <mergeCell ref="S7:T7"/>
    <mergeCell ref="X7:Y7"/>
    <mergeCell ref="A8:A12"/>
    <mergeCell ref="N8:N12"/>
    <mergeCell ref="C12:J12"/>
    <mergeCell ref="P12:W12"/>
    <mergeCell ref="C1:J2"/>
    <mergeCell ref="A6:C6"/>
    <mergeCell ref="C7:D7"/>
    <mergeCell ref="F7:G7"/>
    <mergeCell ref="K7:L7"/>
    <mergeCell ref="O7:Q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6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A0603</dc:creator>
  <cp:keywords/>
  <dc:description/>
  <cp:lastModifiedBy>杉浦 久美子</cp:lastModifiedBy>
  <cp:lastPrinted>2023-05-10T02:25:55Z</cp:lastPrinted>
  <dcterms:created xsi:type="dcterms:W3CDTF">2008-02-26T03:58:22Z</dcterms:created>
  <dcterms:modified xsi:type="dcterms:W3CDTF">2023-08-08T02:37:59Z</dcterms:modified>
  <cp:category/>
  <cp:version/>
  <cp:contentType/>
  <cp:contentStatus/>
</cp:coreProperties>
</file>